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资金公示表" sheetId="1" r:id="rId1"/>
  </sheets>
  <definedNames>
    <definedName name="_xlnm.Print_Titles" localSheetId="0">资金公示表!$1:$3</definedName>
    <definedName name="_xlnm.Print_Area" localSheetId="0">资金公示表!$A$1:$K$102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<sst xmlns="http://schemas.openxmlformats.org/spreadsheetml/2006/main" count="215" uniqueCount="153">
  <si>
    <t>2024年自治区储备粮水稻基地建设资金补助公示表</t>
  </si>
  <si>
    <t xml:space="preserve">单位名称：青铜峡市发展和改革局                                                                                              日期：2024年12月26日                                                                                                                                                                   </t>
  </si>
  <si>
    <t>序号</t>
  </si>
  <si>
    <t>粮食生产主体</t>
  </si>
  <si>
    <t>基地地址</t>
  </si>
  <si>
    <t>面积（亩）</t>
  </si>
  <si>
    <t>预计产量</t>
  </si>
  <si>
    <t>应交售数量
（公斤）</t>
  </si>
  <si>
    <t>实际交售数量
（公斤）</t>
  </si>
  <si>
    <t>折算面积</t>
  </si>
  <si>
    <t>补贴金额</t>
  </si>
  <si>
    <t>备注</t>
  </si>
  <si>
    <t>总计</t>
  </si>
  <si>
    <t>87户</t>
  </si>
  <si>
    <t>瞿靖镇</t>
  </si>
  <si>
    <t>陈龙</t>
  </si>
  <si>
    <t>光辉村</t>
  </si>
  <si>
    <t>青铜峡市瞿靖镇银光村经济合作社</t>
  </si>
  <si>
    <t>银光村</t>
  </si>
  <si>
    <t>张万忠</t>
  </si>
  <si>
    <t>金学东</t>
  </si>
  <si>
    <t>张彦军</t>
  </si>
  <si>
    <t>瞿靖村</t>
  </si>
  <si>
    <t>张少华</t>
  </si>
  <si>
    <t>解怀钧</t>
  </si>
  <si>
    <t>蒋西村</t>
  </si>
  <si>
    <t>马登云</t>
  </si>
  <si>
    <t>周财山</t>
  </si>
  <si>
    <t>白建宁</t>
  </si>
  <si>
    <t>陈卫军</t>
  </si>
  <si>
    <t>青铜峡市天富种植专业合作社</t>
  </si>
  <si>
    <t>丁锋银</t>
  </si>
  <si>
    <t>丁锋金</t>
  </si>
  <si>
    <t>王涛</t>
  </si>
  <si>
    <t>朝阳村</t>
  </si>
  <si>
    <t>合计</t>
  </si>
  <si>
    <t>15</t>
  </si>
  <si>
    <t>邵岗镇</t>
  </si>
  <si>
    <t>青铜峡市邵岗镇永涵村股份经济合作社</t>
  </si>
  <si>
    <t>邵岗镇永涵村二、三、六组</t>
  </si>
  <si>
    <t>青铜峡市邵岗镇邵北村股份经济合作社</t>
  </si>
  <si>
    <t>邵岗镇邵北村</t>
  </si>
  <si>
    <t>青铜峡市邵岗镇下桥村股份经济合作社</t>
  </si>
  <si>
    <t>邵岗镇下桥村四组</t>
  </si>
  <si>
    <t>青铜峡市邵岗镇沙湖村股份经济合作社</t>
  </si>
  <si>
    <t>邵岗镇沙湖村一组</t>
  </si>
  <si>
    <t>青铜峡市邵岗镇邵西村经济合作社</t>
  </si>
  <si>
    <t>邵岗镇邵西村二组</t>
  </si>
  <si>
    <t>青铜峡市邵岗镇东方红村经济合作社</t>
  </si>
  <si>
    <t>邵岗镇东方红村</t>
  </si>
  <si>
    <t>青铜峡市邵岗镇二旗村经济合作社</t>
  </si>
  <si>
    <t>邵岗镇二旗村二组</t>
  </si>
  <si>
    <t>尤志刚</t>
  </si>
  <si>
    <t>王城</t>
  </si>
  <si>
    <t>邵岗镇邵岗村二组</t>
  </si>
  <si>
    <t>张宇</t>
  </si>
  <si>
    <t>邵岗镇玉泉村四组</t>
  </si>
  <si>
    <t>李瑞芳</t>
  </si>
  <si>
    <t>毕建国</t>
  </si>
  <si>
    <t>徐洪兵</t>
  </si>
  <si>
    <t>13</t>
  </si>
  <si>
    <t>叶盛镇</t>
  </si>
  <si>
    <t>青铜峡市叶盛镇张庄村股份经济合作社</t>
  </si>
  <si>
    <t>张庄村</t>
  </si>
  <si>
    <t>青铜峡市叶盛镇龙门村股份经济合作社</t>
  </si>
  <si>
    <t>龙门村</t>
  </si>
  <si>
    <t>青铜峡市叶盛镇盛庄村股份经济合作社</t>
  </si>
  <si>
    <t>盛庄村</t>
  </si>
  <si>
    <t>李兴平</t>
  </si>
  <si>
    <t>蒋滩村</t>
  </si>
  <si>
    <t>赵春霞</t>
  </si>
  <si>
    <t>新增主体</t>
  </si>
  <si>
    <t>唐小红</t>
  </si>
  <si>
    <t>6</t>
  </si>
  <si>
    <t>陈袁滩镇</t>
  </si>
  <si>
    <t>青铜峡市陈袁滩镇唐滩村股份经济合作社</t>
  </si>
  <si>
    <t>唐滩村</t>
  </si>
  <si>
    <t>梁红峡</t>
  </si>
  <si>
    <t>沙坝湾村</t>
  </si>
  <si>
    <t>马兴光</t>
  </si>
  <si>
    <t>汪玉庆</t>
  </si>
  <si>
    <t>马宗保</t>
  </si>
  <si>
    <t>马金良</t>
  </si>
  <si>
    <t>李铁军</t>
  </si>
  <si>
    <t>李传英</t>
  </si>
  <si>
    <t>汤金文</t>
  </si>
  <si>
    <t>万粮滩村</t>
  </si>
  <si>
    <t>郭红梅</t>
  </si>
  <si>
    <t>郝文华</t>
  </si>
  <si>
    <t>张茂新</t>
  </si>
  <si>
    <t>青铜峡市陈袁滩镇沙坝湾村股份经济合作社</t>
  </si>
  <si>
    <t>大坝镇</t>
  </si>
  <si>
    <t>李天保</t>
  </si>
  <si>
    <t xml:space="preserve">大坝村 </t>
  </si>
  <si>
    <t>史君宁</t>
  </si>
  <si>
    <t>韩林华</t>
  </si>
  <si>
    <t>韦桥村</t>
  </si>
  <si>
    <t>韦绪成</t>
  </si>
  <si>
    <t>韦旭兵</t>
  </si>
  <si>
    <t>袁东海</t>
  </si>
  <si>
    <t>黄长利</t>
  </si>
  <si>
    <t>滑石沟村</t>
  </si>
  <si>
    <t>魏学军</t>
  </si>
  <si>
    <t>青铜峡市大坝镇新桥村股份经济合作社</t>
  </si>
  <si>
    <t>新桥村</t>
  </si>
  <si>
    <t>陈军</t>
  </si>
  <si>
    <t>马建军</t>
  </si>
  <si>
    <t>王海军</t>
  </si>
  <si>
    <t>三棵树村</t>
  </si>
  <si>
    <t>魏宝军</t>
  </si>
  <si>
    <t>刘宁</t>
  </si>
  <si>
    <t>李学才</t>
  </si>
  <si>
    <t>魏艳丽</t>
  </si>
  <si>
    <t>哈兴弟</t>
  </si>
  <si>
    <t>马惠萍</t>
  </si>
  <si>
    <t>王老滩村</t>
  </si>
  <si>
    <t>青铜峡市大坝镇上滩村股份经济合作社</t>
  </si>
  <si>
    <t>上滩村</t>
  </si>
  <si>
    <t>树新林场</t>
  </si>
  <si>
    <t>曹秀章</t>
  </si>
  <si>
    <t>树新分场3队</t>
  </si>
  <si>
    <t>王爱国</t>
  </si>
  <si>
    <t>树新分场1队</t>
  </si>
  <si>
    <t>吴永军</t>
  </si>
  <si>
    <t>张春军</t>
  </si>
  <si>
    <t>张艳红</t>
  </si>
  <si>
    <t>丰贡华</t>
  </si>
  <si>
    <t>树新分场4队</t>
  </si>
  <si>
    <t>沙瑞军</t>
  </si>
  <si>
    <t>杨美玲</t>
  </si>
  <si>
    <t>马青山</t>
  </si>
  <si>
    <t>任丹</t>
  </si>
  <si>
    <t>付金玲</t>
  </si>
  <si>
    <t>白明江</t>
  </si>
  <si>
    <t>叶建军</t>
  </si>
  <si>
    <t>王成</t>
  </si>
  <si>
    <t>连湖农场</t>
  </si>
  <si>
    <t>宁夏农垦连湖农场有限公司</t>
  </si>
  <si>
    <t>连湖农场7队</t>
  </si>
  <si>
    <t>良繁场</t>
  </si>
  <si>
    <t>秦文</t>
  </si>
  <si>
    <t>良繁场唐西分场</t>
  </si>
  <si>
    <t>峡口镇</t>
  </si>
  <si>
    <t>段新平</t>
  </si>
  <si>
    <t>汉渠村</t>
  </si>
  <si>
    <t>小坝镇</t>
  </si>
  <si>
    <t>青铜峡市小坝镇林皋村股份经济合作社</t>
  </si>
  <si>
    <t>林皋村</t>
  </si>
  <si>
    <t>张兴忠</t>
  </si>
  <si>
    <t>唐西养殖园区</t>
  </si>
  <si>
    <t>青铜峡镇</t>
  </si>
  <si>
    <t>青铜峡市青铜峡镇沃沙村股份经济合作社</t>
  </si>
  <si>
    <t>沃沙村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</si>
</sst>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7">
    <font>
      <sz val="11"/>
      <color theme="1"/>
      <name val="宋体"/>
      <charset val="134"/>
      <scheme val="minor"/>
    </font>
    <font>
      <sz val="12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0"/>
      <color theme="1"/>
      <name val="方正仿宋_GBK"/>
      <charset val="134"/>
    </font>
    <font>
      <sz val="14"/>
      <color theme="1"/>
      <name val="方正仿宋_GBK"/>
      <charset val="134"/>
    </font>
    <font>
      <sz val="22"/>
      <color theme="1"/>
      <name val="方正小标宋_GBK"/>
      <charset val="134"/>
    </font>
    <font>
      <b/>
      <sz val="14"/>
      <color theme="1"/>
      <name val="方正仿宋_GBK"/>
      <charset val="134"/>
    </font>
    <font>
      <sz val="12"/>
      <name val="方正仿宋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49" fontId="6" fillId="0" borderId="0" xfId="0" applyNumberFormat="1" applyFont="1" applyFill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Protection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2"/>
  <sheetViews>
    <sheetView tabSelected="1" view="pageBreakPreview" zoomScaleNormal="100" workbookViewId="0">
      <pane ySplit="3" topLeftCell="A3" activePane="bottomLeft" state="frozen"/>
      <selection/>
      <selection pane="bottomLeft" activeCell="M5" sqref="M5"/>
    </sheetView>
  </sheetViews>
  <sheetFormatPr defaultColWidth="9" defaultRowHeight="30" customHeight="1"/>
  <cols>
    <col min="1" max="1" width="7.11111111111111" style="4" customWidth="1"/>
    <col min="2" max="2" width="10.4444444444444" style="4" customWidth="1"/>
    <col min="3" max="3" width="29.7777777777778" style="5" customWidth="1"/>
    <col min="4" max="4" width="21.1111111111111" style="5" customWidth="1"/>
    <col min="5" max="5" width="11.3333333333333" style="6" customWidth="1"/>
    <col min="6" max="6" width="7.66666666666667" style="6" customWidth="1"/>
    <col min="7" max="7" width="15.4444444444444" style="4" customWidth="1"/>
    <col min="8" max="8" width="19" style="4" customWidth="1"/>
    <col min="9" max="9" width="13.2222222222222" style="7" customWidth="1"/>
    <col min="10" max="10" width="16" style="8" customWidth="1"/>
    <col min="11" max="11" width="11.3333333333333" style="6" customWidth="1"/>
    <col min="12" max="16384" width="9" style="6"/>
  </cols>
  <sheetData>
    <row r="1" ht="37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ht="21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41" customHeight="1" spans="1:11">
      <c r="A3" s="11" t="s">
        <v>2</v>
      </c>
      <c r="B3" s="12"/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3" t="s">
        <v>8</v>
      </c>
      <c r="I3" s="30" t="s">
        <v>9</v>
      </c>
      <c r="J3" s="31" t="s">
        <v>10</v>
      </c>
      <c r="K3" s="31" t="s">
        <v>11</v>
      </c>
    </row>
    <row r="4" s="1" customFormat="1" ht="31" customHeight="1" spans="1:11">
      <c r="A4" s="14"/>
      <c r="B4" s="15" t="s">
        <v>12</v>
      </c>
      <c r="C4" s="16" t="s">
        <v>13</v>
      </c>
      <c r="D4" s="17"/>
      <c r="E4" s="16">
        <f>E20+E34+E41+E76+E97+E100+E55+E102+E91+E93+E95</f>
        <v>19167.02</v>
      </c>
      <c r="F4" s="18"/>
      <c r="G4" s="16">
        <f>G20+G34+G41+G76+G97+G100+G55+G102+G91+G93+G95</f>
        <v>7666808</v>
      </c>
      <c r="H4" s="16">
        <f>H20+H34+H41+H55+H76+H91+H93+H95+H97+H100+H102</f>
        <v>5198595</v>
      </c>
      <c r="I4" s="32">
        <f>I20+I34+I41+I55+I76+I91+I93+I95+I97+I100+I102</f>
        <v>11850.73</v>
      </c>
      <c r="J4" s="32">
        <f>I4*100</f>
        <v>1185073</v>
      </c>
      <c r="K4" s="17"/>
    </row>
    <row r="5" s="1" customFormat="1" ht="27" customHeight="1" spans="1:11">
      <c r="A5" s="19">
        <v>1</v>
      </c>
      <c r="B5" s="18" t="s">
        <v>14</v>
      </c>
      <c r="C5" s="16" t="s">
        <v>15</v>
      </c>
      <c r="D5" s="16" t="s">
        <v>16</v>
      </c>
      <c r="E5" s="16">
        <v>51.6</v>
      </c>
      <c r="F5" s="18">
        <v>400</v>
      </c>
      <c r="G5" s="18">
        <f>E5*400</f>
        <v>20640</v>
      </c>
      <c r="H5" s="20">
        <v>20430</v>
      </c>
      <c r="I5" s="32">
        <f>H5/400</f>
        <v>51.075</v>
      </c>
      <c r="J5" s="33">
        <f>I5*100</f>
        <v>5107.5</v>
      </c>
      <c r="K5" s="17"/>
    </row>
    <row r="6" s="1" customFormat="1" ht="36" customHeight="1" spans="1:11">
      <c r="A6" s="19">
        <v>2</v>
      </c>
      <c r="B6" s="18"/>
      <c r="C6" s="16" t="s">
        <v>17</v>
      </c>
      <c r="D6" s="16" t="s">
        <v>18</v>
      </c>
      <c r="E6" s="18">
        <v>123.4</v>
      </c>
      <c r="F6" s="18">
        <v>400</v>
      </c>
      <c r="G6" s="18">
        <f>E6*400</f>
        <v>49360</v>
      </c>
      <c r="H6" s="20">
        <v>52758</v>
      </c>
      <c r="I6" s="32">
        <v>123.4</v>
      </c>
      <c r="J6" s="33">
        <f t="shared" ref="J4:J19" si="0">I6*100</f>
        <v>12340</v>
      </c>
      <c r="K6" s="17"/>
    </row>
    <row r="7" s="1" customFormat="1" ht="28" customHeight="1" spans="1:11">
      <c r="A7" s="19">
        <v>3</v>
      </c>
      <c r="B7" s="18"/>
      <c r="C7" s="16" t="s">
        <v>19</v>
      </c>
      <c r="D7" s="16" t="s">
        <v>18</v>
      </c>
      <c r="E7" s="18">
        <v>255.8</v>
      </c>
      <c r="F7" s="18">
        <v>400</v>
      </c>
      <c r="G7" s="18">
        <f t="shared" ref="G6:G29" si="1">E7*400</f>
        <v>102320</v>
      </c>
      <c r="H7" s="20">
        <f>42494+41100+20580</f>
        <v>104174</v>
      </c>
      <c r="I7" s="32">
        <v>255.8</v>
      </c>
      <c r="J7" s="33">
        <f t="shared" si="0"/>
        <v>25580</v>
      </c>
      <c r="K7" s="17"/>
    </row>
    <row r="8" s="1" customFormat="1" ht="28" customHeight="1" spans="1:11">
      <c r="A8" s="19">
        <v>4</v>
      </c>
      <c r="B8" s="18"/>
      <c r="C8" s="16" t="s">
        <v>20</v>
      </c>
      <c r="D8" s="16" t="s">
        <v>18</v>
      </c>
      <c r="E8" s="18">
        <v>79.5</v>
      </c>
      <c r="F8" s="18">
        <v>400</v>
      </c>
      <c r="G8" s="18">
        <f t="shared" si="1"/>
        <v>31800</v>
      </c>
      <c r="H8" s="20">
        <f>34341</f>
        <v>34341</v>
      </c>
      <c r="I8" s="32">
        <v>79.5</v>
      </c>
      <c r="J8" s="33">
        <f t="shared" si="0"/>
        <v>7950</v>
      </c>
      <c r="K8" s="17"/>
    </row>
    <row r="9" s="1" customFormat="1" ht="28" customHeight="1" spans="1:11">
      <c r="A9" s="19">
        <v>5</v>
      </c>
      <c r="B9" s="18"/>
      <c r="C9" s="16" t="s">
        <v>21</v>
      </c>
      <c r="D9" s="16" t="s">
        <v>22</v>
      </c>
      <c r="E9" s="18">
        <v>31.7</v>
      </c>
      <c r="F9" s="18">
        <v>400</v>
      </c>
      <c r="G9" s="18">
        <f t="shared" si="1"/>
        <v>12680</v>
      </c>
      <c r="H9" s="20">
        <v>5221</v>
      </c>
      <c r="I9" s="34">
        <f>H9/400</f>
        <v>13.0525</v>
      </c>
      <c r="J9" s="33">
        <f t="shared" si="0"/>
        <v>1305.25</v>
      </c>
      <c r="K9" s="17"/>
    </row>
    <row r="10" s="1" customFormat="1" ht="28" customHeight="1" spans="1:11">
      <c r="A10" s="19">
        <v>6</v>
      </c>
      <c r="B10" s="18"/>
      <c r="C10" s="16" t="s">
        <v>23</v>
      </c>
      <c r="D10" s="16" t="s">
        <v>22</v>
      </c>
      <c r="E10" s="18">
        <v>30.16</v>
      </c>
      <c r="F10" s="18">
        <v>400</v>
      </c>
      <c r="G10" s="18">
        <f t="shared" si="1"/>
        <v>12064</v>
      </c>
      <c r="H10" s="20">
        <v>12162</v>
      </c>
      <c r="I10" s="32">
        <v>30.16</v>
      </c>
      <c r="J10" s="33">
        <f t="shared" si="0"/>
        <v>3016</v>
      </c>
      <c r="K10" s="17"/>
    </row>
    <row r="11" s="1" customFormat="1" ht="28" customHeight="1" spans="1:11">
      <c r="A11" s="19">
        <v>7</v>
      </c>
      <c r="B11" s="18"/>
      <c r="C11" s="16" t="s">
        <v>24</v>
      </c>
      <c r="D11" s="16" t="s">
        <v>25</v>
      </c>
      <c r="E11" s="18">
        <v>258.94</v>
      </c>
      <c r="F11" s="18">
        <v>400</v>
      </c>
      <c r="G11" s="18">
        <f t="shared" si="1"/>
        <v>103576</v>
      </c>
      <c r="H11" s="21">
        <f>34934+71617</f>
        <v>106551</v>
      </c>
      <c r="I11" s="32">
        <v>258.94</v>
      </c>
      <c r="J11" s="33">
        <f t="shared" si="0"/>
        <v>25894</v>
      </c>
      <c r="K11" s="17"/>
    </row>
    <row r="12" s="1" customFormat="1" ht="28" customHeight="1" spans="1:11">
      <c r="A12" s="19">
        <v>8</v>
      </c>
      <c r="B12" s="18"/>
      <c r="C12" s="16" t="s">
        <v>26</v>
      </c>
      <c r="D12" s="16" t="s">
        <v>25</v>
      </c>
      <c r="E12" s="18">
        <v>168</v>
      </c>
      <c r="F12" s="18">
        <v>400</v>
      </c>
      <c r="G12" s="18">
        <f t="shared" si="1"/>
        <v>67200</v>
      </c>
      <c r="H12" s="20">
        <v>34347</v>
      </c>
      <c r="I12" s="32">
        <f>H12/400</f>
        <v>85.8675</v>
      </c>
      <c r="J12" s="33">
        <f t="shared" si="0"/>
        <v>8586.75</v>
      </c>
      <c r="K12" s="17"/>
    </row>
    <row r="13" s="1" customFormat="1" ht="28" customHeight="1" spans="1:11">
      <c r="A13" s="19">
        <v>9</v>
      </c>
      <c r="B13" s="18"/>
      <c r="C13" s="16" t="s">
        <v>27</v>
      </c>
      <c r="D13" s="16" t="s">
        <v>25</v>
      </c>
      <c r="E13" s="18">
        <v>81.6</v>
      </c>
      <c r="F13" s="18">
        <v>400</v>
      </c>
      <c r="G13" s="18">
        <f t="shared" si="1"/>
        <v>32640</v>
      </c>
      <c r="H13" s="20">
        <f>33628</f>
        <v>33628</v>
      </c>
      <c r="I13" s="32">
        <v>81.6</v>
      </c>
      <c r="J13" s="33">
        <f t="shared" si="0"/>
        <v>8160</v>
      </c>
      <c r="K13" s="17"/>
    </row>
    <row r="14" s="1" customFormat="1" ht="28" customHeight="1" spans="1:11">
      <c r="A14" s="19">
        <v>10</v>
      </c>
      <c r="B14" s="18"/>
      <c r="C14" s="16" t="s">
        <v>28</v>
      </c>
      <c r="D14" s="16" t="s">
        <v>25</v>
      </c>
      <c r="E14" s="18">
        <v>111.1</v>
      </c>
      <c r="F14" s="18">
        <v>400</v>
      </c>
      <c r="G14" s="18">
        <f t="shared" si="1"/>
        <v>44440</v>
      </c>
      <c r="H14" s="20">
        <v>41192</v>
      </c>
      <c r="I14" s="32">
        <f>H14/400</f>
        <v>102.98</v>
      </c>
      <c r="J14" s="33">
        <f t="shared" si="0"/>
        <v>10298</v>
      </c>
      <c r="K14" s="17"/>
    </row>
    <row r="15" s="1" customFormat="1" ht="28" customHeight="1" spans="1:11">
      <c r="A15" s="19">
        <v>11</v>
      </c>
      <c r="B15" s="18"/>
      <c r="C15" s="16" t="s">
        <v>29</v>
      </c>
      <c r="D15" s="16" t="s">
        <v>25</v>
      </c>
      <c r="E15" s="18">
        <v>347.8</v>
      </c>
      <c r="F15" s="18">
        <v>400</v>
      </c>
      <c r="G15" s="18">
        <f t="shared" si="1"/>
        <v>139120</v>
      </c>
      <c r="H15" s="20">
        <f>43785</f>
        <v>43785</v>
      </c>
      <c r="I15" s="32">
        <f>H15/400</f>
        <v>109.4625</v>
      </c>
      <c r="J15" s="33">
        <f t="shared" si="0"/>
        <v>10946.25</v>
      </c>
      <c r="K15" s="17"/>
    </row>
    <row r="16" s="1" customFormat="1" ht="37" customHeight="1" spans="1:11">
      <c r="A16" s="19">
        <v>12</v>
      </c>
      <c r="B16" s="18"/>
      <c r="C16" s="16" t="s">
        <v>30</v>
      </c>
      <c r="D16" s="16" t="s">
        <v>25</v>
      </c>
      <c r="E16" s="18">
        <v>159.9</v>
      </c>
      <c r="F16" s="18">
        <v>400</v>
      </c>
      <c r="G16" s="18">
        <f t="shared" si="1"/>
        <v>63960</v>
      </c>
      <c r="H16" s="20">
        <f>35065+34083</f>
        <v>69148</v>
      </c>
      <c r="I16" s="32">
        <v>159.9</v>
      </c>
      <c r="J16" s="33">
        <f t="shared" si="0"/>
        <v>15990</v>
      </c>
      <c r="K16" s="17"/>
    </row>
    <row r="17" s="1" customFormat="1" ht="28" customHeight="1" spans="1:11">
      <c r="A17" s="19">
        <v>13</v>
      </c>
      <c r="B17" s="18"/>
      <c r="C17" s="16" t="s">
        <v>31</v>
      </c>
      <c r="D17" s="16" t="s">
        <v>25</v>
      </c>
      <c r="E17" s="18">
        <v>109.8</v>
      </c>
      <c r="F17" s="18">
        <v>400</v>
      </c>
      <c r="G17" s="18">
        <f t="shared" si="1"/>
        <v>43920</v>
      </c>
      <c r="H17" s="20">
        <v>50924</v>
      </c>
      <c r="I17" s="32">
        <v>109.8</v>
      </c>
      <c r="J17" s="33">
        <f t="shared" si="0"/>
        <v>10980</v>
      </c>
      <c r="K17" s="17"/>
    </row>
    <row r="18" s="1" customFormat="1" ht="28" customHeight="1" spans="1:11">
      <c r="A18" s="19">
        <v>14</v>
      </c>
      <c r="B18" s="18"/>
      <c r="C18" s="16" t="s">
        <v>32</v>
      </c>
      <c r="D18" s="16" t="s">
        <v>25</v>
      </c>
      <c r="E18" s="18">
        <v>56.8</v>
      </c>
      <c r="F18" s="18">
        <v>400</v>
      </c>
      <c r="G18" s="18">
        <f t="shared" si="1"/>
        <v>22720</v>
      </c>
      <c r="H18" s="20">
        <f>25655</f>
        <v>25655</v>
      </c>
      <c r="I18" s="32">
        <v>56.8</v>
      </c>
      <c r="J18" s="33">
        <f t="shared" si="0"/>
        <v>5680</v>
      </c>
      <c r="K18" s="17"/>
    </row>
    <row r="19" s="1" customFormat="1" ht="28" customHeight="1" spans="1:11">
      <c r="A19" s="19">
        <v>15</v>
      </c>
      <c r="B19" s="18"/>
      <c r="C19" s="16" t="s">
        <v>33</v>
      </c>
      <c r="D19" s="16" t="s">
        <v>34</v>
      </c>
      <c r="E19" s="18">
        <v>387</v>
      </c>
      <c r="F19" s="18">
        <v>400</v>
      </c>
      <c r="G19" s="18">
        <f t="shared" si="1"/>
        <v>154800</v>
      </c>
      <c r="H19" s="22">
        <f>33720+32266+43988</f>
        <v>109974</v>
      </c>
      <c r="I19" s="32">
        <f>H19/400</f>
        <v>274.935</v>
      </c>
      <c r="J19" s="33">
        <f t="shared" si="0"/>
        <v>27493.5</v>
      </c>
      <c r="K19" s="17"/>
    </row>
    <row r="20" s="1" customFormat="1" ht="28" customHeight="1" spans="1:11">
      <c r="A20" s="19"/>
      <c r="B20" s="16" t="s">
        <v>35</v>
      </c>
      <c r="C20" s="16" t="s">
        <v>36</v>
      </c>
      <c r="D20" s="17"/>
      <c r="E20" s="18">
        <f>SUM(E5:E19)</f>
        <v>2253.1</v>
      </c>
      <c r="F20" s="18"/>
      <c r="G20" s="18">
        <f>SUM(G5:G19)</f>
        <v>901240</v>
      </c>
      <c r="H20" s="18">
        <f>SUM(H5:H19)</f>
        <v>744290</v>
      </c>
      <c r="I20" s="32">
        <f>SUM(I5:I19)</f>
        <v>1793.2725</v>
      </c>
      <c r="J20" s="14"/>
      <c r="K20" s="17"/>
    </row>
    <row r="21" s="1" customFormat="1" ht="39" customHeight="1" spans="1:11">
      <c r="A21" s="19">
        <v>16</v>
      </c>
      <c r="B21" s="18" t="s">
        <v>37</v>
      </c>
      <c r="C21" s="16" t="s">
        <v>38</v>
      </c>
      <c r="D21" s="16" t="s">
        <v>39</v>
      </c>
      <c r="E21" s="18">
        <v>77</v>
      </c>
      <c r="F21" s="18">
        <v>400</v>
      </c>
      <c r="G21" s="18">
        <f t="shared" ref="G21:G33" si="2">E21*400</f>
        <v>30800</v>
      </c>
      <c r="H21" s="20">
        <v>19205</v>
      </c>
      <c r="I21" s="32">
        <f>H21/400</f>
        <v>48.0125</v>
      </c>
      <c r="J21" s="33">
        <f t="shared" ref="J21:J33" si="3">I21*100</f>
        <v>4801.25</v>
      </c>
      <c r="K21" s="17"/>
    </row>
    <row r="22" s="1" customFormat="1" ht="39" customHeight="1" spans="1:11">
      <c r="A22" s="19">
        <v>17</v>
      </c>
      <c r="B22" s="18"/>
      <c r="C22" s="16" t="s">
        <v>40</v>
      </c>
      <c r="D22" s="16" t="s">
        <v>41</v>
      </c>
      <c r="E22" s="18">
        <v>184</v>
      </c>
      <c r="F22" s="18">
        <v>400</v>
      </c>
      <c r="G22" s="18">
        <f t="shared" si="2"/>
        <v>73600</v>
      </c>
      <c r="H22" s="20">
        <f>4366+1482+5307+11797</f>
        <v>22952</v>
      </c>
      <c r="I22" s="32">
        <f t="shared" ref="I22:I33" si="4">H22/400</f>
        <v>57.38</v>
      </c>
      <c r="J22" s="33">
        <f t="shared" si="3"/>
        <v>5738</v>
      </c>
      <c r="K22" s="17"/>
    </row>
    <row r="23" s="1" customFormat="1" ht="39" customHeight="1" spans="1:11">
      <c r="A23" s="19">
        <v>18</v>
      </c>
      <c r="B23" s="18"/>
      <c r="C23" s="16" t="s">
        <v>42</v>
      </c>
      <c r="D23" s="16" t="s">
        <v>43</v>
      </c>
      <c r="E23" s="18">
        <v>89</v>
      </c>
      <c r="F23" s="18">
        <v>400</v>
      </c>
      <c r="G23" s="18">
        <f t="shared" si="2"/>
        <v>35600</v>
      </c>
      <c r="H23" s="20">
        <f>12292</f>
        <v>12292</v>
      </c>
      <c r="I23" s="32">
        <f t="shared" si="4"/>
        <v>30.73</v>
      </c>
      <c r="J23" s="33">
        <f t="shared" si="3"/>
        <v>3073</v>
      </c>
      <c r="K23" s="17"/>
    </row>
    <row r="24" s="1" customFormat="1" ht="39" customHeight="1" spans="1:11">
      <c r="A24" s="19">
        <v>19</v>
      </c>
      <c r="B24" s="18"/>
      <c r="C24" s="16" t="s">
        <v>44</v>
      </c>
      <c r="D24" s="16" t="s">
        <v>45</v>
      </c>
      <c r="E24" s="18">
        <v>176</v>
      </c>
      <c r="F24" s="18">
        <v>400</v>
      </c>
      <c r="G24" s="18">
        <f t="shared" si="2"/>
        <v>70400</v>
      </c>
      <c r="H24" s="20">
        <f>15729</f>
        <v>15729</v>
      </c>
      <c r="I24" s="32">
        <f t="shared" si="4"/>
        <v>39.3225</v>
      </c>
      <c r="J24" s="33">
        <f t="shared" si="3"/>
        <v>3932.25</v>
      </c>
      <c r="K24" s="17"/>
    </row>
    <row r="25" s="1" customFormat="1" ht="39" customHeight="1" spans="1:11">
      <c r="A25" s="19">
        <v>20</v>
      </c>
      <c r="B25" s="18"/>
      <c r="C25" s="16" t="s">
        <v>46</v>
      </c>
      <c r="D25" s="16" t="s">
        <v>47</v>
      </c>
      <c r="E25" s="18">
        <v>249</v>
      </c>
      <c r="F25" s="18">
        <v>400</v>
      </c>
      <c r="G25" s="18">
        <f t="shared" si="2"/>
        <v>99600</v>
      </c>
      <c r="H25" s="20">
        <f>59911+18803+11886</f>
        <v>90600</v>
      </c>
      <c r="I25" s="32">
        <f t="shared" si="4"/>
        <v>226.5</v>
      </c>
      <c r="J25" s="33">
        <f t="shared" si="3"/>
        <v>22650</v>
      </c>
      <c r="K25" s="17"/>
    </row>
    <row r="26" s="1" customFormat="1" ht="39" customHeight="1" spans="1:11">
      <c r="A26" s="19">
        <v>21</v>
      </c>
      <c r="B26" s="18"/>
      <c r="C26" s="16" t="s">
        <v>48</v>
      </c>
      <c r="D26" s="16" t="s">
        <v>49</v>
      </c>
      <c r="E26" s="18">
        <v>1156</v>
      </c>
      <c r="F26" s="18">
        <v>400</v>
      </c>
      <c r="G26" s="18">
        <f t="shared" si="2"/>
        <v>462400</v>
      </c>
      <c r="H26" s="20">
        <f>10848+10111+2406+23709+45363+46968+30481+78464+43092+13716+13802</f>
        <v>318960</v>
      </c>
      <c r="I26" s="32">
        <f t="shared" si="4"/>
        <v>797.4</v>
      </c>
      <c r="J26" s="33">
        <f t="shared" si="3"/>
        <v>79740</v>
      </c>
      <c r="K26" s="17"/>
    </row>
    <row r="27" s="1" customFormat="1" ht="39" customHeight="1" spans="1:11">
      <c r="A27" s="19">
        <v>22</v>
      </c>
      <c r="B27" s="18"/>
      <c r="C27" s="16" t="s">
        <v>50</v>
      </c>
      <c r="D27" s="16" t="s">
        <v>51</v>
      </c>
      <c r="E27" s="18">
        <v>373</v>
      </c>
      <c r="F27" s="18">
        <v>400</v>
      </c>
      <c r="G27" s="18">
        <f t="shared" si="2"/>
        <v>149200</v>
      </c>
      <c r="H27" s="20">
        <f>5136+8261</f>
        <v>13397</v>
      </c>
      <c r="I27" s="32">
        <f t="shared" si="4"/>
        <v>33.4925</v>
      </c>
      <c r="J27" s="33">
        <f t="shared" si="3"/>
        <v>3349.25</v>
      </c>
      <c r="K27" s="17"/>
    </row>
    <row r="28" s="1" customFormat="1" customHeight="1" spans="1:11">
      <c r="A28" s="19">
        <v>23</v>
      </c>
      <c r="B28" s="18"/>
      <c r="C28" s="16" t="s">
        <v>52</v>
      </c>
      <c r="D28" s="16" t="s">
        <v>49</v>
      </c>
      <c r="E28" s="18">
        <v>7.81</v>
      </c>
      <c r="F28" s="18">
        <v>400</v>
      </c>
      <c r="G28" s="18">
        <f t="shared" si="2"/>
        <v>3124</v>
      </c>
      <c r="H28" s="20">
        <v>1185</v>
      </c>
      <c r="I28" s="32">
        <f t="shared" si="4"/>
        <v>2.9625</v>
      </c>
      <c r="J28" s="33">
        <f t="shared" si="3"/>
        <v>296.25</v>
      </c>
      <c r="K28" s="17"/>
    </row>
    <row r="29" s="1" customFormat="1" customHeight="1" spans="1:11">
      <c r="A29" s="19">
        <v>24</v>
      </c>
      <c r="B29" s="18"/>
      <c r="C29" s="16" t="s">
        <v>53</v>
      </c>
      <c r="D29" s="16" t="s">
        <v>54</v>
      </c>
      <c r="E29" s="18">
        <v>92</v>
      </c>
      <c r="F29" s="18">
        <v>400</v>
      </c>
      <c r="G29" s="18">
        <f t="shared" si="2"/>
        <v>36800</v>
      </c>
      <c r="H29" s="20">
        <v>32395</v>
      </c>
      <c r="I29" s="32">
        <f t="shared" si="4"/>
        <v>80.9875</v>
      </c>
      <c r="J29" s="33">
        <f t="shared" si="3"/>
        <v>8098.75</v>
      </c>
      <c r="K29" s="17"/>
    </row>
    <row r="30" s="1" customFormat="1" customHeight="1" spans="1:11">
      <c r="A30" s="19">
        <v>25</v>
      </c>
      <c r="B30" s="18"/>
      <c r="C30" s="16" t="s">
        <v>55</v>
      </c>
      <c r="D30" s="16" t="s">
        <v>56</v>
      </c>
      <c r="E30" s="18">
        <v>261</v>
      </c>
      <c r="F30" s="18">
        <v>400</v>
      </c>
      <c r="G30" s="18">
        <f t="shared" si="2"/>
        <v>104400</v>
      </c>
      <c r="H30" s="21">
        <v>103261</v>
      </c>
      <c r="I30" s="32">
        <f t="shared" si="4"/>
        <v>258.1525</v>
      </c>
      <c r="J30" s="33">
        <f t="shared" si="3"/>
        <v>25815.25</v>
      </c>
      <c r="K30" s="17"/>
    </row>
    <row r="31" s="1" customFormat="1" customHeight="1" spans="1:11">
      <c r="A31" s="19">
        <v>26</v>
      </c>
      <c r="B31" s="18"/>
      <c r="C31" s="16" t="s">
        <v>57</v>
      </c>
      <c r="D31" s="16" t="s">
        <v>56</v>
      </c>
      <c r="E31" s="18">
        <v>123</v>
      </c>
      <c r="F31" s="18">
        <v>400</v>
      </c>
      <c r="G31" s="18">
        <f t="shared" si="2"/>
        <v>49200</v>
      </c>
      <c r="H31" s="20">
        <v>47128</v>
      </c>
      <c r="I31" s="32">
        <f t="shared" si="4"/>
        <v>117.82</v>
      </c>
      <c r="J31" s="33">
        <f t="shared" si="3"/>
        <v>11782</v>
      </c>
      <c r="K31" s="17"/>
    </row>
    <row r="32" s="1" customFormat="1" customHeight="1" spans="1:11">
      <c r="A32" s="19">
        <v>27</v>
      </c>
      <c r="B32" s="18"/>
      <c r="C32" s="16" t="s">
        <v>58</v>
      </c>
      <c r="D32" s="16" t="s">
        <v>56</v>
      </c>
      <c r="E32" s="18">
        <v>89</v>
      </c>
      <c r="F32" s="18">
        <v>400</v>
      </c>
      <c r="G32" s="18">
        <f t="shared" si="2"/>
        <v>35600</v>
      </c>
      <c r="H32" s="20">
        <v>29209</v>
      </c>
      <c r="I32" s="32">
        <f t="shared" si="4"/>
        <v>73.0225</v>
      </c>
      <c r="J32" s="33">
        <f t="shared" si="3"/>
        <v>7302.25</v>
      </c>
      <c r="K32" s="17"/>
    </row>
    <row r="33" s="1" customFormat="1" customHeight="1" spans="1:11">
      <c r="A33" s="19">
        <v>28</v>
      </c>
      <c r="B33" s="18"/>
      <c r="C33" s="16" t="s">
        <v>59</v>
      </c>
      <c r="D33" s="16" t="s">
        <v>41</v>
      </c>
      <c r="E33" s="18">
        <v>1.7</v>
      </c>
      <c r="F33" s="18">
        <v>400</v>
      </c>
      <c r="G33" s="18">
        <f t="shared" si="2"/>
        <v>680</v>
      </c>
      <c r="H33" s="20">
        <v>930</v>
      </c>
      <c r="I33" s="32">
        <v>1.7</v>
      </c>
      <c r="J33" s="33">
        <f t="shared" si="3"/>
        <v>170</v>
      </c>
      <c r="K33" s="17"/>
    </row>
    <row r="34" s="1" customFormat="1" customHeight="1" spans="1:11">
      <c r="A34" s="19"/>
      <c r="B34" s="18" t="s">
        <v>35</v>
      </c>
      <c r="C34" s="16" t="s">
        <v>60</v>
      </c>
      <c r="D34" s="16"/>
      <c r="E34" s="18">
        <f>SUM(E21:E33)</f>
        <v>2878.51</v>
      </c>
      <c r="F34" s="18"/>
      <c r="G34" s="18">
        <f>SUM(G21:G33)</f>
        <v>1151404</v>
      </c>
      <c r="H34" s="18">
        <f>SUM(H21:H33)</f>
        <v>707243</v>
      </c>
      <c r="I34" s="32">
        <f>SUM(I21:I33)</f>
        <v>1767.4825</v>
      </c>
      <c r="J34" s="14"/>
      <c r="K34" s="17"/>
    </row>
    <row r="35" s="1" customFormat="1" ht="34" customHeight="1" spans="1:11">
      <c r="A35" s="19">
        <v>29</v>
      </c>
      <c r="B35" s="23" t="s">
        <v>61</v>
      </c>
      <c r="C35" s="16" t="s">
        <v>62</v>
      </c>
      <c r="D35" s="16" t="s">
        <v>63</v>
      </c>
      <c r="E35" s="18">
        <v>550.3</v>
      </c>
      <c r="F35" s="18">
        <v>400</v>
      </c>
      <c r="G35" s="18">
        <f>E35*400</f>
        <v>220120</v>
      </c>
      <c r="H35" s="20">
        <f>64838+12175</f>
        <v>77013</v>
      </c>
      <c r="I35" s="32">
        <f>H35/400</f>
        <v>192.5325</v>
      </c>
      <c r="J35" s="33">
        <f t="shared" ref="J35:J40" si="5">I35*100</f>
        <v>19253.25</v>
      </c>
      <c r="K35" s="17"/>
    </row>
    <row r="36" s="1" customFormat="1" ht="34" customHeight="1" spans="1:11">
      <c r="A36" s="19">
        <v>30</v>
      </c>
      <c r="B36" s="24"/>
      <c r="C36" s="16" t="s">
        <v>64</v>
      </c>
      <c r="D36" s="16" t="s">
        <v>65</v>
      </c>
      <c r="E36" s="18">
        <v>546.7</v>
      </c>
      <c r="F36" s="18">
        <v>400</v>
      </c>
      <c r="G36" s="18">
        <f>E36*400</f>
        <v>218680</v>
      </c>
      <c r="H36" s="20">
        <f>36014+58068+49780+41048+34754+17851+51165+34515</f>
        <v>323195</v>
      </c>
      <c r="I36" s="32">
        <v>546.7</v>
      </c>
      <c r="J36" s="33">
        <f t="shared" si="5"/>
        <v>54670</v>
      </c>
      <c r="K36" s="17"/>
    </row>
    <row r="37" s="1" customFormat="1" ht="34" customHeight="1" spans="1:11">
      <c r="A37" s="19">
        <v>31</v>
      </c>
      <c r="B37" s="24"/>
      <c r="C37" s="16" t="s">
        <v>66</v>
      </c>
      <c r="D37" s="16" t="s">
        <v>67</v>
      </c>
      <c r="E37" s="18">
        <v>263</v>
      </c>
      <c r="F37" s="18">
        <v>400</v>
      </c>
      <c r="G37" s="18">
        <f>E37*400</f>
        <v>105200</v>
      </c>
      <c r="H37" s="20">
        <v>903</v>
      </c>
      <c r="I37" s="32">
        <f>H37/400</f>
        <v>2.2575</v>
      </c>
      <c r="J37" s="33">
        <f t="shared" si="5"/>
        <v>225.75</v>
      </c>
      <c r="K37" s="17"/>
    </row>
    <row r="38" s="1" customFormat="1" ht="21" customHeight="1" spans="1:11">
      <c r="A38" s="19">
        <v>32</v>
      </c>
      <c r="B38" s="24"/>
      <c r="C38" s="16" t="s">
        <v>68</v>
      </c>
      <c r="D38" s="16" t="s">
        <v>69</v>
      </c>
      <c r="E38" s="18">
        <v>183</v>
      </c>
      <c r="F38" s="18">
        <v>400</v>
      </c>
      <c r="G38" s="18">
        <f>E38*400</f>
        <v>73200</v>
      </c>
      <c r="H38" s="20">
        <v>8302</v>
      </c>
      <c r="I38" s="32">
        <f>H38/400</f>
        <v>20.755</v>
      </c>
      <c r="J38" s="33">
        <f t="shared" si="5"/>
        <v>2075.5</v>
      </c>
      <c r="K38" s="17"/>
    </row>
    <row r="39" s="2" customFormat="1" ht="21" customHeight="1" spans="1:11">
      <c r="A39" s="14">
        <v>33</v>
      </c>
      <c r="B39" s="24"/>
      <c r="C39" s="16" t="s">
        <v>70</v>
      </c>
      <c r="D39" s="16" t="s">
        <v>67</v>
      </c>
      <c r="E39" s="14">
        <v>6.57</v>
      </c>
      <c r="F39" s="18">
        <v>400</v>
      </c>
      <c r="G39" s="14">
        <f>E39*F39</f>
        <v>2628</v>
      </c>
      <c r="H39" s="16">
        <v>2251</v>
      </c>
      <c r="I39" s="32">
        <v>5.6</v>
      </c>
      <c r="J39" s="33">
        <f t="shared" si="5"/>
        <v>560</v>
      </c>
      <c r="K39" s="35" t="s">
        <v>71</v>
      </c>
    </row>
    <row r="40" s="2" customFormat="1" ht="21" customHeight="1" spans="1:11">
      <c r="A40" s="14">
        <v>34</v>
      </c>
      <c r="B40" s="25"/>
      <c r="C40" s="16" t="s">
        <v>72</v>
      </c>
      <c r="D40" s="16" t="s">
        <v>67</v>
      </c>
      <c r="E40" s="14">
        <v>10.4</v>
      </c>
      <c r="F40" s="18">
        <v>400</v>
      </c>
      <c r="G40" s="14">
        <f>E40*F40</f>
        <v>4160</v>
      </c>
      <c r="H40" s="16">
        <v>3219</v>
      </c>
      <c r="I40" s="32">
        <v>8</v>
      </c>
      <c r="J40" s="33">
        <f t="shared" si="5"/>
        <v>800</v>
      </c>
      <c r="K40" s="35" t="s">
        <v>71</v>
      </c>
    </row>
    <row r="41" s="1" customFormat="1" ht="21" customHeight="1" spans="1:11">
      <c r="A41" s="14"/>
      <c r="B41" s="16" t="s">
        <v>35</v>
      </c>
      <c r="C41" s="16" t="s">
        <v>73</v>
      </c>
      <c r="D41" s="16"/>
      <c r="E41" s="14">
        <f>SUM(E35:E40)</f>
        <v>1559.97</v>
      </c>
      <c r="F41" s="18"/>
      <c r="G41" s="14">
        <f>SUM(G35:G40)</f>
        <v>623988</v>
      </c>
      <c r="H41" s="14">
        <f>SUM(H35:H40)</f>
        <v>414883</v>
      </c>
      <c r="I41" s="32">
        <f>SUM(I35:I40)</f>
        <v>775.845</v>
      </c>
      <c r="J41" s="14"/>
      <c r="K41" s="17"/>
    </row>
    <row r="42" s="3" customFormat="1" ht="32" customHeight="1" spans="1:11">
      <c r="A42" s="14">
        <v>35</v>
      </c>
      <c r="B42" s="18" t="s">
        <v>74</v>
      </c>
      <c r="C42" s="16" t="s">
        <v>75</v>
      </c>
      <c r="D42" s="16" t="s">
        <v>76</v>
      </c>
      <c r="E42" s="26">
        <v>2700</v>
      </c>
      <c r="F42" s="18">
        <v>400</v>
      </c>
      <c r="G42" s="18">
        <f>E42*400</f>
        <v>1080000</v>
      </c>
      <c r="H42" s="20">
        <f>20603+41250</f>
        <v>61853</v>
      </c>
      <c r="I42" s="32">
        <f>H42/400</f>
        <v>154.6325</v>
      </c>
      <c r="J42" s="33">
        <f t="shared" ref="J42:J54" si="6">I42*100</f>
        <v>15463.25</v>
      </c>
      <c r="K42" s="36"/>
    </row>
    <row r="43" s="3" customFormat="1" ht="21" customHeight="1" spans="1:11">
      <c r="A43" s="14">
        <v>36</v>
      </c>
      <c r="B43" s="18"/>
      <c r="C43" s="16" t="s">
        <v>77</v>
      </c>
      <c r="D43" s="16" t="s">
        <v>78</v>
      </c>
      <c r="E43" s="26">
        <v>321.47</v>
      </c>
      <c r="F43" s="18">
        <v>400</v>
      </c>
      <c r="G43" s="18">
        <f>E43*400</f>
        <v>128588</v>
      </c>
      <c r="H43" s="20">
        <v>140342</v>
      </c>
      <c r="I43" s="32">
        <v>321.47</v>
      </c>
      <c r="J43" s="33">
        <f t="shared" si="6"/>
        <v>32147</v>
      </c>
      <c r="K43" s="36"/>
    </row>
    <row r="44" s="3" customFormat="1" ht="21" customHeight="1" spans="1:11">
      <c r="A44" s="14">
        <v>37</v>
      </c>
      <c r="B44" s="18"/>
      <c r="C44" s="16" t="s">
        <v>79</v>
      </c>
      <c r="D44" s="16" t="s">
        <v>76</v>
      </c>
      <c r="E44" s="26">
        <v>280.8</v>
      </c>
      <c r="F44" s="18">
        <v>400</v>
      </c>
      <c r="G44" s="18">
        <f t="shared" ref="G44:G54" si="7">E44*400</f>
        <v>112320</v>
      </c>
      <c r="H44" s="20">
        <v>172556</v>
      </c>
      <c r="I44" s="32">
        <v>280.8</v>
      </c>
      <c r="J44" s="33">
        <f t="shared" si="6"/>
        <v>28080</v>
      </c>
      <c r="K44" s="36"/>
    </row>
    <row r="45" s="3" customFormat="1" ht="21" customHeight="1" spans="1:11">
      <c r="A45" s="14">
        <v>38</v>
      </c>
      <c r="B45" s="18"/>
      <c r="C45" s="16" t="s">
        <v>80</v>
      </c>
      <c r="D45" s="16" t="s">
        <v>76</v>
      </c>
      <c r="E45" s="26">
        <v>215.25</v>
      </c>
      <c r="F45" s="18">
        <v>400</v>
      </c>
      <c r="G45" s="18">
        <f t="shared" si="7"/>
        <v>86100</v>
      </c>
      <c r="H45" s="20">
        <v>165334</v>
      </c>
      <c r="I45" s="32">
        <v>215.25</v>
      </c>
      <c r="J45" s="33">
        <f t="shared" si="6"/>
        <v>21525</v>
      </c>
      <c r="K45" s="36"/>
    </row>
    <row r="46" s="3" customFormat="1" ht="21" customHeight="1" spans="1:11">
      <c r="A46" s="14">
        <v>39</v>
      </c>
      <c r="B46" s="18"/>
      <c r="C46" s="16" t="s">
        <v>81</v>
      </c>
      <c r="D46" s="16" t="s">
        <v>76</v>
      </c>
      <c r="E46" s="26">
        <v>317.1</v>
      </c>
      <c r="F46" s="18">
        <v>400</v>
      </c>
      <c r="G46" s="18">
        <f t="shared" si="7"/>
        <v>126840</v>
      </c>
      <c r="H46" s="20">
        <v>172405</v>
      </c>
      <c r="I46" s="32">
        <v>317.1</v>
      </c>
      <c r="J46" s="33">
        <f t="shared" si="6"/>
        <v>31710</v>
      </c>
      <c r="K46" s="36"/>
    </row>
    <row r="47" s="3" customFormat="1" ht="21" customHeight="1" spans="1:11">
      <c r="A47" s="14">
        <v>40</v>
      </c>
      <c r="B47" s="18"/>
      <c r="C47" s="16" t="s">
        <v>82</v>
      </c>
      <c r="D47" s="16" t="s">
        <v>76</v>
      </c>
      <c r="E47" s="26">
        <v>453.86</v>
      </c>
      <c r="F47" s="18">
        <v>400</v>
      </c>
      <c r="G47" s="18">
        <f t="shared" si="7"/>
        <v>181544</v>
      </c>
      <c r="H47" s="20">
        <v>101350</v>
      </c>
      <c r="I47" s="32">
        <f>H47/400</f>
        <v>253.375</v>
      </c>
      <c r="J47" s="33">
        <f t="shared" si="6"/>
        <v>25337.5</v>
      </c>
      <c r="K47" s="36"/>
    </row>
    <row r="48" s="3" customFormat="1" ht="21" customHeight="1" spans="1:11">
      <c r="A48" s="14">
        <v>41</v>
      </c>
      <c r="B48" s="18"/>
      <c r="C48" s="16" t="s">
        <v>83</v>
      </c>
      <c r="D48" s="16" t="s">
        <v>78</v>
      </c>
      <c r="E48" s="26">
        <v>212.77</v>
      </c>
      <c r="F48" s="18">
        <v>400</v>
      </c>
      <c r="G48" s="18">
        <f t="shared" si="7"/>
        <v>85108</v>
      </c>
      <c r="H48" s="20">
        <v>34196</v>
      </c>
      <c r="I48" s="32">
        <f>H48/400</f>
        <v>85.49</v>
      </c>
      <c r="J48" s="33">
        <f t="shared" si="6"/>
        <v>8549</v>
      </c>
      <c r="K48" s="36"/>
    </row>
    <row r="49" s="3" customFormat="1" ht="21" customHeight="1" spans="1:11">
      <c r="A49" s="14">
        <v>42</v>
      </c>
      <c r="B49" s="18"/>
      <c r="C49" s="16" t="s">
        <v>84</v>
      </c>
      <c r="D49" s="16" t="s">
        <v>78</v>
      </c>
      <c r="E49" s="26">
        <v>171.87</v>
      </c>
      <c r="F49" s="18">
        <v>400</v>
      </c>
      <c r="G49" s="18">
        <f t="shared" si="7"/>
        <v>68748</v>
      </c>
      <c r="H49" s="20">
        <v>68165</v>
      </c>
      <c r="I49" s="32">
        <f>H49/400</f>
        <v>170.4125</v>
      </c>
      <c r="J49" s="33">
        <f t="shared" si="6"/>
        <v>17041.25</v>
      </c>
      <c r="K49" s="36"/>
    </row>
    <row r="50" s="3" customFormat="1" ht="21" customHeight="1" spans="1:11">
      <c r="A50" s="14">
        <v>43</v>
      </c>
      <c r="B50" s="18"/>
      <c r="C50" s="16" t="s">
        <v>85</v>
      </c>
      <c r="D50" s="16" t="s">
        <v>86</v>
      </c>
      <c r="E50" s="26">
        <v>347.54</v>
      </c>
      <c r="F50" s="18">
        <v>400</v>
      </c>
      <c r="G50" s="18">
        <f t="shared" si="7"/>
        <v>139016</v>
      </c>
      <c r="H50" s="20">
        <v>136238</v>
      </c>
      <c r="I50" s="32">
        <f>H50/400</f>
        <v>340.595</v>
      </c>
      <c r="J50" s="33">
        <f t="shared" si="6"/>
        <v>34059.5</v>
      </c>
      <c r="K50" s="36"/>
    </row>
    <row r="51" s="3" customFormat="1" ht="21" customHeight="1" spans="1:11">
      <c r="A51" s="14">
        <v>44</v>
      </c>
      <c r="B51" s="18"/>
      <c r="C51" s="16" t="s">
        <v>87</v>
      </c>
      <c r="D51" s="16" t="s">
        <v>78</v>
      </c>
      <c r="E51" s="14">
        <v>246.4</v>
      </c>
      <c r="F51" s="18">
        <v>400</v>
      </c>
      <c r="G51" s="18">
        <f t="shared" si="7"/>
        <v>98560</v>
      </c>
      <c r="H51" s="20">
        <v>109422</v>
      </c>
      <c r="I51" s="32">
        <v>246.4</v>
      </c>
      <c r="J51" s="33">
        <f t="shared" si="6"/>
        <v>24640</v>
      </c>
      <c r="K51" s="36"/>
    </row>
    <row r="52" s="3" customFormat="1" ht="21" customHeight="1" spans="1:11">
      <c r="A52" s="14">
        <v>45</v>
      </c>
      <c r="B52" s="18"/>
      <c r="C52" s="16" t="s">
        <v>88</v>
      </c>
      <c r="D52" s="16" t="s">
        <v>78</v>
      </c>
      <c r="E52" s="14">
        <v>148.81</v>
      </c>
      <c r="F52" s="18">
        <v>400</v>
      </c>
      <c r="G52" s="18">
        <f t="shared" si="7"/>
        <v>59524</v>
      </c>
      <c r="H52" s="27">
        <v>36625</v>
      </c>
      <c r="I52" s="32">
        <f>H52/400</f>
        <v>91.5625</v>
      </c>
      <c r="J52" s="33">
        <f t="shared" si="6"/>
        <v>9156.25</v>
      </c>
      <c r="K52" s="36"/>
    </row>
    <row r="53" s="3" customFormat="1" ht="21" customHeight="1" spans="1:11">
      <c r="A53" s="14">
        <v>46</v>
      </c>
      <c r="B53" s="18"/>
      <c r="C53" s="16" t="s">
        <v>89</v>
      </c>
      <c r="D53" s="16" t="s">
        <v>78</v>
      </c>
      <c r="E53" s="14">
        <v>131.61</v>
      </c>
      <c r="F53" s="18">
        <v>400</v>
      </c>
      <c r="G53" s="18">
        <f t="shared" si="7"/>
        <v>52644</v>
      </c>
      <c r="H53" s="20">
        <v>70347</v>
      </c>
      <c r="I53" s="32">
        <v>131.61</v>
      </c>
      <c r="J53" s="33">
        <f t="shared" si="6"/>
        <v>13161</v>
      </c>
      <c r="K53" s="36"/>
    </row>
    <row r="54" s="3" customFormat="1" customHeight="1" spans="1:11">
      <c r="A54" s="14">
        <v>47</v>
      </c>
      <c r="B54" s="18"/>
      <c r="C54" s="16" t="s">
        <v>90</v>
      </c>
      <c r="D54" s="28" t="s">
        <v>78</v>
      </c>
      <c r="E54" s="28">
        <v>1800</v>
      </c>
      <c r="F54" s="28">
        <v>400</v>
      </c>
      <c r="G54" s="28">
        <f t="shared" si="7"/>
        <v>720000</v>
      </c>
      <c r="H54" s="29">
        <f>35058+35816+36777</f>
        <v>107651</v>
      </c>
      <c r="I54" s="32">
        <f>H54/400</f>
        <v>269.1275</v>
      </c>
      <c r="J54" s="33">
        <f t="shared" si="6"/>
        <v>26912.75</v>
      </c>
      <c r="K54" s="36"/>
    </row>
    <row r="55" s="3" customFormat="1" ht="24" customHeight="1" spans="1:11">
      <c r="A55" s="14"/>
      <c r="B55" s="19" t="s">
        <v>35</v>
      </c>
      <c r="C55" s="16" t="s">
        <v>60</v>
      </c>
      <c r="D55" s="16"/>
      <c r="E55" s="26">
        <f>SUM(E42:E54)</f>
        <v>7347.48</v>
      </c>
      <c r="F55" s="18"/>
      <c r="G55" s="26">
        <f>SUM(G42:G54)</f>
        <v>2938992</v>
      </c>
      <c r="H55" s="26">
        <f>SUM(H42:H54)</f>
        <v>1376484</v>
      </c>
      <c r="I55" s="32">
        <f>SUM(I42:I54)</f>
        <v>2877.825</v>
      </c>
      <c r="J55" s="37"/>
      <c r="K55" s="36"/>
    </row>
    <row r="56" s="1" customFormat="1" ht="24" customHeight="1" spans="1:11">
      <c r="A56" s="19">
        <v>48</v>
      </c>
      <c r="B56" s="18" t="s">
        <v>91</v>
      </c>
      <c r="C56" s="26" t="s">
        <v>92</v>
      </c>
      <c r="D56" s="16" t="s">
        <v>93</v>
      </c>
      <c r="E56" s="26">
        <v>18.5</v>
      </c>
      <c r="F56" s="18">
        <v>400</v>
      </c>
      <c r="G56" s="18">
        <f t="shared" ref="G56:G62" si="8">E56*400</f>
        <v>7400</v>
      </c>
      <c r="H56" s="20">
        <v>5240</v>
      </c>
      <c r="I56" s="32">
        <f>H56/400</f>
        <v>13.1</v>
      </c>
      <c r="J56" s="33">
        <f t="shared" ref="J56:J75" si="9">I56*100</f>
        <v>1310</v>
      </c>
      <c r="K56" s="17"/>
    </row>
    <row r="57" s="1" customFormat="1" ht="24" customHeight="1" spans="1:11">
      <c r="A57" s="19">
        <v>49</v>
      </c>
      <c r="B57" s="18"/>
      <c r="C57" s="26" t="s">
        <v>94</v>
      </c>
      <c r="D57" s="16" t="s">
        <v>93</v>
      </c>
      <c r="E57" s="26">
        <v>36.41</v>
      </c>
      <c r="F57" s="18">
        <v>400</v>
      </c>
      <c r="G57" s="18">
        <f t="shared" si="8"/>
        <v>14564</v>
      </c>
      <c r="H57" s="20">
        <v>8276</v>
      </c>
      <c r="I57" s="32">
        <f t="shared" ref="I57:I64" si="10">H57/400</f>
        <v>20.69</v>
      </c>
      <c r="J57" s="33">
        <f t="shared" si="9"/>
        <v>2069</v>
      </c>
      <c r="K57" s="17"/>
    </row>
    <row r="58" s="1" customFormat="1" ht="24" customHeight="1" spans="1:11">
      <c r="A58" s="19">
        <v>50</v>
      </c>
      <c r="B58" s="18"/>
      <c r="C58" s="26" t="s">
        <v>95</v>
      </c>
      <c r="D58" s="16" t="s">
        <v>96</v>
      </c>
      <c r="E58" s="26">
        <v>62.32</v>
      </c>
      <c r="F58" s="18">
        <v>400</v>
      </c>
      <c r="G58" s="18">
        <f t="shared" si="8"/>
        <v>24928</v>
      </c>
      <c r="H58" s="20">
        <f>5245+5350+10943</f>
        <v>21538</v>
      </c>
      <c r="I58" s="32">
        <f t="shared" si="10"/>
        <v>53.845</v>
      </c>
      <c r="J58" s="33">
        <f t="shared" si="9"/>
        <v>5384.5</v>
      </c>
      <c r="K58" s="17"/>
    </row>
    <row r="59" s="1" customFormat="1" ht="24" customHeight="1" spans="1:11">
      <c r="A59" s="19">
        <v>51</v>
      </c>
      <c r="B59" s="18"/>
      <c r="C59" s="26" t="s">
        <v>97</v>
      </c>
      <c r="D59" s="16" t="s">
        <v>96</v>
      </c>
      <c r="E59" s="26">
        <v>117</v>
      </c>
      <c r="F59" s="18">
        <v>400</v>
      </c>
      <c r="G59" s="18">
        <f t="shared" si="8"/>
        <v>46800</v>
      </c>
      <c r="H59" s="20">
        <f>9738+15630</f>
        <v>25368</v>
      </c>
      <c r="I59" s="32">
        <f t="shared" si="10"/>
        <v>63.42</v>
      </c>
      <c r="J59" s="33">
        <f t="shared" si="9"/>
        <v>6342</v>
      </c>
      <c r="K59" s="17"/>
    </row>
    <row r="60" s="1" customFormat="1" ht="24" customHeight="1" spans="1:11">
      <c r="A60" s="19">
        <v>52</v>
      </c>
      <c r="B60" s="18"/>
      <c r="C60" s="26" t="s">
        <v>98</v>
      </c>
      <c r="D60" s="16" t="s">
        <v>96</v>
      </c>
      <c r="E60" s="26">
        <v>14</v>
      </c>
      <c r="F60" s="18">
        <v>400</v>
      </c>
      <c r="G60" s="18">
        <f t="shared" si="8"/>
        <v>5600</v>
      </c>
      <c r="H60" s="20">
        <v>3785</v>
      </c>
      <c r="I60" s="32">
        <f t="shared" si="10"/>
        <v>9.4625</v>
      </c>
      <c r="J60" s="33">
        <f t="shared" si="9"/>
        <v>946.25</v>
      </c>
      <c r="K60" s="17"/>
    </row>
    <row r="61" s="1" customFormat="1" ht="24" customHeight="1" spans="1:11">
      <c r="A61" s="19">
        <v>53</v>
      </c>
      <c r="B61" s="18"/>
      <c r="C61" s="26" t="s">
        <v>99</v>
      </c>
      <c r="D61" s="16" t="s">
        <v>96</v>
      </c>
      <c r="E61" s="26">
        <v>166</v>
      </c>
      <c r="F61" s="18">
        <v>400</v>
      </c>
      <c r="G61" s="18">
        <f t="shared" si="8"/>
        <v>66400</v>
      </c>
      <c r="H61" s="20">
        <f>14417+41925+9541</f>
        <v>65883</v>
      </c>
      <c r="I61" s="32">
        <f t="shared" si="10"/>
        <v>164.7075</v>
      </c>
      <c r="J61" s="33">
        <f t="shared" si="9"/>
        <v>16470.75</v>
      </c>
      <c r="K61" s="17"/>
    </row>
    <row r="62" s="1" customFormat="1" ht="24" customHeight="1" spans="1:11">
      <c r="A62" s="19">
        <v>54</v>
      </c>
      <c r="B62" s="18"/>
      <c r="C62" s="26" t="s">
        <v>100</v>
      </c>
      <c r="D62" s="16" t="s">
        <v>101</v>
      </c>
      <c r="E62" s="26">
        <v>300</v>
      </c>
      <c r="F62" s="18">
        <v>400</v>
      </c>
      <c r="G62" s="18">
        <f t="shared" si="8"/>
        <v>120000</v>
      </c>
      <c r="H62" s="20">
        <v>83412</v>
      </c>
      <c r="I62" s="32">
        <f t="shared" si="10"/>
        <v>208.53</v>
      </c>
      <c r="J62" s="33">
        <f t="shared" si="9"/>
        <v>20853</v>
      </c>
      <c r="K62" s="17"/>
    </row>
    <row r="63" s="1" customFormat="1" ht="24" customHeight="1" spans="1:11">
      <c r="A63" s="19">
        <v>55</v>
      </c>
      <c r="B63" s="18"/>
      <c r="C63" s="26" t="s">
        <v>102</v>
      </c>
      <c r="D63" s="16" t="s">
        <v>96</v>
      </c>
      <c r="E63" s="26">
        <v>50</v>
      </c>
      <c r="F63" s="18">
        <v>400</v>
      </c>
      <c r="G63" s="18">
        <f t="shared" ref="G63:G75" si="11">E63*400</f>
        <v>20000</v>
      </c>
      <c r="H63" s="20">
        <f>1112+1380</f>
        <v>2492</v>
      </c>
      <c r="I63" s="32">
        <f t="shared" si="10"/>
        <v>6.23</v>
      </c>
      <c r="J63" s="33">
        <f t="shared" si="9"/>
        <v>623</v>
      </c>
      <c r="K63" s="17"/>
    </row>
    <row r="64" s="1" customFormat="1" ht="31" customHeight="1" spans="1:11">
      <c r="A64" s="19">
        <v>56</v>
      </c>
      <c r="B64" s="18"/>
      <c r="C64" s="26" t="s">
        <v>103</v>
      </c>
      <c r="D64" s="16" t="s">
        <v>104</v>
      </c>
      <c r="E64" s="26">
        <v>177.92</v>
      </c>
      <c r="F64" s="18">
        <v>400</v>
      </c>
      <c r="G64" s="18">
        <f t="shared" si="11"/>
        <v>71168</v>
      </c>
      <c r="H64" s="20">
        <f>8057+32494+10220</f>
        <v>50771</v>
      </c>
      <c r="I64" s="32">
        <f t="shared" si="10"/>
        <v>126.9275</v>
      </c>
      <c r="J64" s="33">
        <f t="shared" si="9"/>
        <v>12692.75</v>
      </c>
      <c r="K64" s="17"/>
    </row>
    <row r="65" s="1" customFormat="1" ht="22" customHeight="1" spans="1:11">
      <c r="A65" s="19">
        <v>57</v>
      </c>
      <c r="B65" s="18"/>
      <c r="C65" s="26" t="s">
        <v>105</v>
      </c>
      <c r="D65" s="16" t="s">
        <v>104</v>
      </c>
      <c r="E65" s="26">
        <v>248.74</v>
      </c>
      <c r="F65" s="18">
        <v>400</v>
      </c>
      <c r="G65" s="18">
        <f t="shared" si="11"/>
        <v>99496</v>
      </c>
      <c r="H65" s="21">
        <f>25528+46748+33146</f>
        <v>105422</v>
      </c>
      <c r="I65" s="32">
        <v>248.74</v>
      </c>
      <c r="J65" s="33">
        <f t="shared" si="9"/>
        <v>24874</v>
      </c>
      <c r="K65" s="17"/>
    </row>
    <row r="66" s="1" customFormat="1" ht="22" customHeight="1" spans="1:11">
      <c r="A66" s="19">
        <v>58</v>
      </c>
      <c r="B66" s="18"/>
      <c r="C66" s="26" t="s">
        <v>106</v>
      </c>
      <c r="D66" s="16" t="s">
        <v>104</v>
      </c>
      <c r="E66" s="26">
        <v>236.13</v>
      </c>
      <c r="F66" s="18">
        <v>400</v>
      </c>
      <c r="G66" s="18">
        <f t="shared" si="11"/>
        <v>94452</v>
      </c>
      <c r="H66" s="20">
        <f>82132+11612</f>
        <v>93744</v>
      </c>
      <c r="I66" s="32">
        <f>H66/400</f>
        <v>234.36</v>
      </c>
      <c r="J66" s="33">
        <f t="shared" si="9"/>
        <v>23436</v>
      </c>
      <c r="K66" s="17"/>
    </row>
    <row r="67" s="1" customFormat="1" ht="22" customHeight="1" spans="1:11">
      <c r="A67" s="19">
        <v>59</v>
      </c>
      <c r="B67" s="18"/>
      <c r="C67" s="26" t="s">
        <v>107</v>
      </c>
      <c r="D67" s="16" t="s">
        <v>108</v>
      </c>
      <c r="E67" s="26">
        <v>433</v>
      </c>
      <c r="F67" s="18">
        <v>400</v>
      </c>
      <c r="G67" s="18">
        <f t="shared" si="11"/>
        <v>173200</v>
      </c>
      <c r="H67" s="20">
        <f>71359+30715+35773+40518-5165</f>
        <v>173200</v>
      </c>
      <c r="I67" s="32">
        <f>G67/400</f>
        <v>433</v>
      </c>
      <c r="J67" s="33">
        <f t="shared" si="9"/>
        <v>43300</v>
      </c>
      <c r="K67" s="17"/>
    </row>
    <row r="68" s="1" customFormat="1" ht="22" customHeight="1" spans="1:11">
      <c r="A68" s="19">
        <v>60</v>
      </c>
      <c r="B68" s="18"/>
      <c r="C68" s="26" t="s">
        <v>107</v>
      </c>
      <c r="D68" s="16" t="s">
        <v>101</v>
      </c>
      <c r="E68" s="26">
        <v>182</v>
      </c>
      <c r="F68" s="18">
        <v>400</v>
      </c>
      <c r="G68" s="18">
        <f t="shared" si="11"/>
        <v>72800</v>
      </c>
      <c r="H68" s="20">
        <f>67038+5165</f>
        <v>72203</v>
      </c>
      <c r="I68" s="32">
        <f>H68/400</f>
        <v>180.5075</v>
      </c>
      <c r="J68" s="33">
        <f t="shared" si="9"/>
        <v>18050.75</v>
      </c>
      <c r="K68" s="17"/>
    </row>
    <row r="69" s="1" customFormat="1" ht="22" customHeight="1" spans="1:11">
      <c r="A69" s="19">
        <v>61</v>
      </c>
      <c r="B69" s="18"/>
      <c r="C69" s="26" t="s">
        <v>109</v>
      </c>
      <c r="D69" s="16" t="s">
        <v>96</v>
      </c>
      <c r="E69" s="26">
        <v>4.5</v>
      </c>
      <c r="F69" s="18">
        <v>400</v>
      </c>
      <c r="G69" s="18">
        <f t="shared" si="11"/>
        <v>1800</v>
      </c>
      <c r="H69" s="20">
        <v>1247</v>
      </c>
      <c r="I69" s="32">
        <f>H69/400</f>
        <v>3.1175</v>
      </c>
      <c r="J69" s="33">
        <f t="shared" si="9"/>
        <v>311.75</v>
      </c>
      <c r="K69" s="17"/>
    </row>
    <row r="70" s="1" customFormat="1" ht="22" customHeight="1" spans="1:11">
      <c r="A70" s="19">
        <v>62</v>
      </c>
      <c r="B70" s="18"/>
      <c r="C70" s="26" t="s">
        <v>110</v>
      </c>
      <c r="D70" s="16" t="s">
        <v>96</v>
      </c>
      <c r="E70" s="26">
        <v>4.5</v>
      </c>
      <c r="F70" s="18">
        <v>400</v>
      </c>
      <c r="G70" s="18">
        <f t="shared" si="11"/>
        <v>1800</v>
      </c>
      <c r="H70" s="20">
        <v>1016</v>
      </c>
      <c r="I70" s="32">
        <f>H70/400</f>
        <v>2.54</v>
      </c>
      <c r="J70" s="33">
        <f t="shared" si="9"/>
        <v>254</v>
      </c>
      <c r="K70" s="17"/>
    </row>
    <row r="71" s="1" customFormat="1" ht="22" customHeight="1" spans="1:11">
      <c r="A71" s="19">
        <v>63</v>
      </c>
      <c r="B71" s="18"/>
      <c r="C71" s="26" t="s">
        <v>111</v>
      </c>
      <c r="D71" s="16" t="s">
        <v>96</v>
      </c>
      <c r="E71" s="26">
        <v>3.5</v>
      </c>
      <c r="F71" s="18">
        <v>400</v>
      </c>
      <c r="G71" s="18">
        <f t="shared" si="11"/>
        <v>1400</v>
      </c>
      <c r="H71" s="20">
        <v>1548</v>
      </c>
      <c r="I71" s="32">
        <v>3.5</v>
      </c>
      <c r="J71" s="33">
        <f t="shared" si="9"/>
        <v>350</v>
      </c>
      <c r="K71" s="17"/>
    </row>
    <row r="72" s="1" customFormat="1" ht="22" customHeight="1" spans="1:11">
      <c r="A72" s="19">
        <v>64</v>
      </c>
      <c r="B72" s="18"/>
      <c r="C72" s="26" t="s">
        <v>112</v>
      </c>
      <c r="D72" s="16" t="s">
        <v>96</v>
      </c>
      <c r="E72" s="26">
        <v>4.5</v>
      </c>
      <c r="F72" s="18">
        <v>400</v>
      </c>
      <c r="G72" s="18">
        <f t="shared" si="11"/>
        <v>1800</v>
      </c>
      <c r="H72" s="20">
        <v>2232</v>
      </c>
      <c r="I72" s="32">
        <v>4.5</v>
      </c>
      <c r="J72" s="33">
        <f t="shared" si="9"/>
        <v>450</v>
      </c>
      <c r="K72" s="17"/>
    </row>
    <row r="73" s="1" customFormat="1" ht="22" customHeight="1" spans="1:11">
      <c r="A73" s="19">
        <v>65</v>
      </c>
      <c r="B73" s="18"/>
      <c r="C73" s="26" t="s">
        <v>113</v>
      </c>
      <c r="D73" s="16" t="s">
        <v>101</v>
      </c>
      <c r="E73" s="26">
        <v>216</v>
      </c>
      <c r="F73" s="18">
        <v>400</v>
      </c>
      <c r="G73" s="18">
        <f t="shared" si="11"/>
        <v>86400</v>
      </c>
      <c r="H73" s="20">
        <f>31884+25024+30931</f>
        <v>87839</v>
      </c>
      <c r="I73" s="32">
        <v>216</v>
      </c>
      <c r="J73" s="33">
        <f t="shared" si="9"/>
        <v>21600</v>
      </c>
      <c r="K73" s="17"/>
    </row>
    <row r="74" s="1" customFormat="1" ht="22" customHeight="1" spans="1:11">
      <c r="A74" s="19">
        <v>66</v>
      </c>
      <c r="B74" s="18"/>
      <c r="C74" s="26" t="s">
        <v>114</v>
      </c>
      <c r="D74" s="16" t="s">
        <v>115</v>
      </c>
      <c r="E74" s="26">
        <v>38</v>
      </c>
      <c r="F74" s="18">
        <v>400</v>
      </c>
      <c r="G74" s="18">
        <f t="shared" si="11"/>
        <v>15200</v>
      </c>
      <c r="H74" s="21">
        <v>12539</v>
      </c>
      <c r="I74" s="32">
        <f>H74/400</f>
        <v>31.3475</v>
      </c>
      <c r="J74" s="33">
        <f t="shared" si="9"/>
        <v>3134.75</v>
      </c>
      <c r="K74" s="17"/>
    </row>
    <row r="75" s="1" customFormat="1" customHeight="1" spans="1:11">
      <c r="A75" s="19">
        <v>67</v>
      </c>
      <c r="B75" s="18"/>
      <c r="C75" s="26" t="s">
        <v>116</v>
      </c>
      <c r="D75" s="14" t="s">
        <v>117</v>
      </c>
      <c r="E75" s="26">
        <v>213</v>
      </c>
      <c r="F75" s="18">
        <v>400</v>
      </c>
      <c r="G75" s="18">
        <f t="shared" si="11"/>
        <v>85200</v>
      </c>
      <c r="H75" s="20">
        <f>31522+25091+20531</f>
        <v>77144</v>
      </c>
      <c r="I75" s="32">
        <f>H75/400</f>
        <v>192.86</v>
      </c>
      <c r="J75" s="33">
        <f t="shared" si="9"/>
        <v>19286</v>
      </c>
      <c r="K75" s="17"/>
    </row>
    <row r="76" s="1" customFormat="1" ht="27" customHeight="1" spans="1:11">
      <c r="A76" s="19"/>
      <c r="B76" s="14" t="s">
        <v>35</v>
      </c>
      <c r="C76" s="26">
        <v>20</v>
      </c>
      <c r="D76" s="17"/>
      <c r="E76" s="26">
        <f>SUM(E56:E75)</f>
        <v>2526.02</v>
      </c>
      <c r="F76" s="26"/>
      <c r="G76" s="26">
        <f>SUM(G56:G75)</f>
        <v>1010408</v>
      </c>
      <c r="H76" s="26">
        <f>SUM(H56:H75)</f>
        <v>894899</v>
      </c>
      <c r="I76" s="32">
        <f>SUM(I56:I75)</f>
        <v>2217.385</v>
      </c>
      <c r="J76" s="14"/>
      <c r="K76" s="17"/>
    </row>
    <row r="77" s="1" customFormat="1" ht="24" customHeight="1" spans="1:11">
      <c r="A77" s="19">
        <v>68</v>
      </c>
      <c r="B77" s="18" t="s">
        <v>118</v>
      </c>
      <c r="C77" s="26" t="s">
        <v>119</v>
      </c>
      <c r="D77" s="16" t="s">
        <v>120</v>
      </c>
      <c r="E77" s="26">
        <v>81.83</v>
      </c>
      <c r="F77" s="18">
        <v>400</v>
      </c>
      <c r="G77" s="18">
        <f t="shared" ref="G77:G90" si="12">E77*400</f>
        <v>32732</v>
      </c>
      <c r="H77" s="20">
        <f>33386</f>
        <v>33386</v>
      </c>
      <c r="I77" s="32">
        <v>81.83</v>
      </c>
      <c r="J77" s="33">
        <f t="shared" ref="J77:J90" si="13">I77*100</f>
        <v>8183</v>
      </c>
      <c r="K77" s="17"/>
    </row>
    <row r="78" s="1" customFormat="1" ht="22" customHeight="1" spans="1:11">
      <c r="A78" s="19">
        <v>69</v>
      </c>
      <c r="B78" s="18"/>
      <c r="C78" s="26" t="s">
        <v>121</v>
      </c>
      <c r="D78" s="16" t="s">
        <v>122</v>
      </c>
      <c r="E78" s="26">
        <v>47.61</v>
      </c>
      <c r="F78" s="18">
        <v>400</v>
      </c>
      <c r="G78" s="18">
        <f t="shared" si="12"/>
        <v>19044</v>
      </c>
      <c r="H78" s="20">
        <v>19230</v>
      </c>
      <c r="I78" s="32">
        <v>47.61</v>
      </c>
      <c r="J78" s="33">
        <f t="shared" si="13"/>
        <v>4761</v>
      </c>
      <c r="K78" s="17"/>
    </row>
    <row r="79" s="1" customFormat="1" ht="22" customHeight="1" spans="1:11">
      <c r="A79" s="19">
        <v>70</v>
      </c>
      <c r="B79" s="18"/>
      <c r="C79" s="26" t="s">
        <v>123</v>
      </c>
      <c r="D79" s="16" t="s">
        <v>122</v>
      </c>
      <c r="E79" s="26">
        <v>53.84</v>
      </c>
      <c r="F79" s="18">
        <v>400</v>
      </c>
      <c r="G79" s="18">
        <f t="shared" si="12"/>
        <v>21536</v>
      </c>
      <c r="H79" s="20">
        <v>23076</v>
      </c>
      <c r="I79" s="32">
        <v>53.84</v>
      </c>
      <c r="J79" s="33">
        <f t="shared" si="13"/>
        <v>5384</v>
      </c>
      <c r="K79" s="17"/>
    </row>
    <row r="80" s="1" customFormat="1" ht="22" customHeight="1" spans="1:11">
      <c r="A80" s="19">
        <v>71</v>
      </c>
      <c r="B80" s="18"/>
      <c r="C80" s="26" t="s">
        <v>124</v>
      </c>
      <c r="D80" s="16" t="s">
        <v>122</v>
      </c>
      <c r="E80" s="26">
        <v>402.24</v>
      </c>
      <c r="F80" s="18">
        <v>400</v>
      </c>
      <c r="G80" s="18">
        <f t="shared" si="12"/>
        <v>160896</v>
      </c>
      <c r="H80" s="20">
        <f>108527+33553</f>
        <v>142080</v>
      </c>
      <c r="I80" s="32">
        <f>H80/400</f>
        <v>355.2</v>
      </c>
      <c r="J80" s="33">
        <f t="shared" si="13"/>
        <v>35520</v>
      </c>
      <c r="K80" s="17"/>
    </row>
    <row r="81" s="1" customFormat="1" ht="22" customHeight="1" spans="1:11">
      <c r="A81" s="19">
        <v>72</v>
      </c>
      <c r="B81" s="18"/>
      <c r="C81" s="26" t="s">
        <v>125</v>
      </c>
      <c r="D81" s="16" t="s">
        <v>122</v>
      </c>
      <c r="E81" s="26">
        <v>15.56</v>
      </c>
      <c r="F81" s="18">
        <v>400</v>
      </c>
      <c r="G81" s="18">
        <f t="shared" si="12"/>
        <v>6224</v>
      </c>
      <c r="H81" s="20">
        <v>7864</v>
      </c>
      <c r="I81" s="32">
        <v>15.56</v>
      </c>
      <c r="J81" s="33">
        <f t="shared" si="13"/>
        <v>1556</v>
      </c>
      <c r="K81" s="17"/>
    </row>
    <row r="82" s="1" customFormat="1" ht="22" customHeight="1" spans="1:11">
      <c r="A82" s="19">
        <v>73</v>
      </c>
      <c r="B82" s="18"/>
      <c r="C82" s="26" t="s">
        <v>126</v>
      </c>
      <c r="D82" s="16" t="s">
        <v>127</v>
      </c>
      <c r="E82" s="26">
        <v>345.6</v>
      </c>
      <c r="F82" s="18">
        <v>400</v>
      </c>
      <c r="G82" s="18">
        <f t="shared" si="12"/>
        <v>138240</v>
      </c>
      <c r="H82" s="38">
        <f>23697+24276+24576+24173+24263+24459</f>
        <v>145444</v>
      </c>
      <c r="I82" s="32">
        <v>345.6</v>
      </c>
      <c r="J82" s="33">
        <f t="shared" si="13"/>
        <v>34560</v>
      </c>
      <c r="K82" s="17"/>
    </row>
    <row r="83" s="1" customFormat="1" ht="22" customHeight="1" spans="1:11">
      <c r="A83" s="19">
        <v>74</v>
      </c>
      <c r="B83" s="18"/>
      <c r="C83" s="26" t="s">
        <v>128</v>
      </c>
      <c r="D83" s="16" t="s">
        <v>118</v>
      </c>
      <c r="E83" s="26">
        <v>13.6</v>
      </c>
      <c r="F83" s="18">
        <v>400</v>
      </c>
      <c r="G83" s="18">
        <f t="shared" si="12"/>
        <v>5440</v>
      </c>
      <c r="H83" s="38">
        <v>4908</v>
      </c>
      <c r="I83" s="40">
        <v>12.27</v>
      </c>
      <c r="J83" s="33">
        <f t="shared" si="13"/>
        <v>1227</v>
      </c>
      <c r="K83" s="17"/>
    </row>
    <row r="84" s="1" customFormat="1" ht="22" customHeight="1" spans="1:11">
      <c r="A84" s="19">
        <v>75</v>
      </c>
      <c r="B84" s="18"/>
      <c r="C84" s="26" t="s">
        <v>129</v>
      </c>
      <c r="D84" s="16" t="s">
        <v>118</v>
      </c>
      <c r="E84" s="26">
        <v>5.76</v>
      </c>
      <c r="F84" s="18">
        <v>400</v>
      </c>
      <c r="G84" s="18">
        <f t="shared" si="12"/>
        <v>2304</v>
      </c>
      <c r="H84" s="38">
        <v>1096</v>
      </c>
      <c r="I84" s="40">
        <v>2.74</v>
      </c>
      <c r="J84" s="33">
        <f t="shared" si="13"/>
        <v>274</v>
      </c>
      <c r="K84" s="17"/>
    </row>
    <row r="85" s="1" customFormat="1" ht="22" customHeight="1" spans="1:11">
      <c r="A85" s="19">
        <v>76</v>
      </c>
      <c r="B85" s="18"/>
      <c r="C85" s="26" t="s">
        <v>130</v>
      </c>
      <c r="D85" s="16" t="s">
        <v>118</v>
      </c>
      <c r="E85" s="26">
        <v>12.28</v>
      </c>
      <c r="F85" s="18">
        <v>400</v>
      </c>
      <c r="G85" s="18">
        <f t="shared" si="12"/>
        <v>4912</v>
      </c>
      <c r="H85" s="38">
        <v>5218</v>
      </c>
      <c r="I85" s="40">
        <v>12.28</v>
      </c>
      <c r="J85" s="33">
        <f t="shared" si="13"/>
        <v>1228</v>
      </c>
      <c r="K85" s="17"/>
    </row>
    <row r="86" s="1" customFormat="1" ht="22" customHeight="1" spans="1:11">
      <c r="A86" s="19">
        <v>77</v>
      </c>
      <c r="B86" s="18"/>
      <c r="C86" s="26" t="s">
        <v>131</v>
      </c>
      <c r="D86" s="16" t="s">
        <v>118</v>
      </c>
      <c r="E86" s="26">
        <v>12.3</v>
      </c>
      <c r="F86" s="18">
        <v>400</v>
      </c>
      <c r="G86" s="18">
        <f t="shared" si="12"/>
        <v>4920</v>
      </c>
      <c r="H86" s="38">
        <v>5557</v>
      </c>
      <c r="I86" s="40">
        <v>12.3</v>
      </c>
      <c r="J86" s="33">
        <f t="shared" si="13"/>
        <v>1230</v>
      </c>
      <c r="K86" s="17"/>
    </row>
    <row r="87" s="1" customFormat="1" ht="22" customHeight="1" spans="1:11">
      <c r="A87" s="19">
        <v>78</v>
      </c>
      <c r="B87" s="18"/>
      <c r="C87" s="26" t="s">
        <v>132</v>
      </c>
      <c r="D87" s="16" t="s">
        <v>118</v>
      </c>
      <c r="E87" s="26">
        <v>4.63</v>
      </c>
      <c r="F87" s="18">
        <v>400</v>
      </c>
      <c r="G87" s="18">
        <f t="shared" si="12"/>
        <v>1852</v>
      </c>
      <c r="H87" s="38">
        <v>1964</v>
      </c>
      <c r="I87" s="40">
        <v>4.63</v>
      </c>
      <c r="J87" s="33">
        <f t="shared" si="13"/>
        <v>463</v>
      </c>
      <c r="K87" s="17"/>
    </row>
    <row r="88" s="1" customFormat="1" ht="22" customHeight="1" spans="1:11">
      <c r="A88" s="19">
        <v>79</v>
      </c>
      <c r="B88" s="18"/>
      <c r="C88" s="26" t="s">
        <v>133</v>
      </c>
      <c r="D88" s="16" t="s">
        <v>118</v>
      </c>
      <c r="E88" s="26">
        <v>9.12</v>
      </c>
      <c r="F88" s="18">
        <v>400</v>
      </c>
      <c r="G88" s="18">
        <f t="shared" si="12"/>
        <v>3648</v>
      </c>
      <c r="H88" s="38">
        <v>4564</v>
      </c>
      <c r="I88" s="40">
        <v>9.12</v>
      </c>
      <c r="J88" s="33">
        <f t="shared" si="13"/>
        <v>912</v>
      </c>
      <c r="K88" s="17"/>
    </row>
    <row r="89" s="1" customFormat="1" ht="22" customHeight="1" spans="1:11">
      <c r="A89" s="19">
        <v>80</v>
      </c>
      <c r="B89" s="18"/>
      <c r="C89" s="26" t="s">
        <v>134</v>
      </c>
      <c r="D89" s="16" t="s">
        <v>118</v>
      </c>
      <c r="E89" s="26">
        <v>20.87</v>
      </c>
      <c r="F89" s="18">
        <v>400</v>
      </c>
      <c r="G89" s="18">
        <f t="shared" si="12"/>
        <v>8348</v>
      </c>
      <c r="H89" s="38">
        <v>9031</v>
      </c>
      <c r="I89" s="40">
        <v>20.87</v>
      </c>
      <c r="J89" s="33">
        <f t="shared" si="13"/>
        <v>2087</v>
      </c>
      <c r="K89" s="17"/>
    </row>
    <row r="90" s="1" customFormat="1" ht="22" customHeight="1" spans="1:11">
      <c r="A90" s="19">
        <v>81</v>
      </c>
      <c r="B90" s="18"/>
      <c r="C90" s="26" t="s">
        <v>135</v>
      </c>
      <c r="D90" s="16" t="s">
        <v>118</v>
      </c>
      <c r="E90" s="26">
        <v>7.7</v>
      </c>
      <c r="F90" s="18">
        <v>400</v>
      </c>
      <c r="G90" s="18">
        <f t="shared" si="12"/>
        <v>3080</v>
      </c>
      <c r="H90" s="38">
        <v>2497</v>
      </c>
      <c r="I90" s="40">
        <v>6.24</v>
      </c>
      <c r="J90" s="33">
        <f t="shared" si="13"/>
        <v>624</v>
      </c>
      <c r="K90" s="17"/>
    </row>
    <row r="91" s="1" customFormat="1" ht="22" customHeight="1" spans="1:11">
      <c r="A91" s="19"/>
      <c r="B91" s="19" t="s">
        <v>35</v>
      </c>
      <c r="C91" s="26">
        <v>14</v>
      </c>
      <c r="D91" s="16"/>
      <c r="E91" s="26">
        <f>SUM(E77:E90)</f>
        <v>1032.94</v>
      </c>
      <c r="F91" s="26"/>
      <c r="G91" s="26">
        <f>SUM(G77:G90)</f>
        <v>413176</v>
      </c>
      <c r="H91" s="26">
        <f>SUM(H77:H90)</f>
        <v>405915</v>
      </c>
      <c r="I91" s="32">
        <f>SUM(I77:I90)</f>
        <v>980.09</v>
      </c>
      <c r="J91" s="14"/>
      <c r="K91" s="17"/>
    </row>
    <row r="92" s="1" customFormat="1" ht="22" customHeight="1" spans="1:11">
      <c r="A92" s="19">
        <v>82</v>
      </c>
      <c r="B92" s="18" t="s">
        <v>136</v>
      </c>
      <c r="C92" s="26" t="s">
        <v>137</v>
      </c>
      <c r="D92" s="16" t="s">
        <v>138</v>
      </c>
      <c r="E92" s="26">
        <v>687</v>
      </c>
      <c r="F92" s="18">
        <v>400</v>
      </c>
      <c r="G92" s="18">
        <f>E92*400</f>
        <v>274800</v>
      </c>
      <c r="H92" s="38">
        <f>33806+34342+46159+101586+33737+31074</f>
        <v>280704</v>
      </c>
      <c r="I92" s="32">
        <v>687</v>
      </c>
      <c r="J92" s="33">
        <f t="shared" ref="J92:J102" si="14">I92*100</f>
        <v>68700</v>
      </c>
      <c r="K92" s="17"/>
    </row>
    <row r="93" s="1" customFormat="1" ht="22" customHeight="1" spans="1:11">
      <c r="A93" s="19"/>
      <c r="B93" s="19" t="s">
        <v>35</v>
      </c>
      <c r="C93" s="26">
        <v>1</v>
      </c>
      <c r="D93" s="16"/>
      <c r="E93" s="26">
        <f>E92</f>
        <v>687</v>
      </c>
      <c r="F93" s="26"/>
      <c r="G93" s="26">
        <f>G92</f>
        <v>274800</v>
      </c>
      <c r="H93" s="26">
        <f>H92</f>
        <v>280704</v>
      </c>
      <c r="I93" s="32">
        <f>SUM(I92:I92)</f>
        <v>687</v>
      </c>
      <c r="J93" s="14"/>
      <c r="K93" s="17"/>
    </row>
    <row r="94" s="1" customFormat="1" ht="22" customHeight="1" spans="1:11">
      <c r="A94" s="19">
        <v>83</v>
      </c>
      <c r="B94" s="18" t="s">
        <v>139</v>
      </c>
      <c r="C94" s="26" t="s">
        <v>140</v>
      </c>
      <c r="D94" s="16" t="s">
        <v>141</v>
      </c>
      <c r="E94" s="26">
        <v>400</v>
      </c>
      <c r="F94" s="18">
        <v>400</v>
      </c>
      <c r="G94" s="18">
        <f>E94*400</f>
        <v>160000</v>
      </c>
      <c r="H94" s="20">
        <f>68927+113838</f>
        <v>182765</v>
      </c>
      <c r="I94" s="32">
        <v>400</v>
      </c>
      <c r="J94" s="33">
        <f t="shared" si="14"/>
        <v>40000</v>
      </c>
      <c r="K94" s="17"/>
    </row>
    <row r="95" s="1" customFormat="1" ht="22" customHeight="1" spans="1:11">
      <c r="A95" s="19"/>
      <c r="B95" s="19" t="s">
        <v>35</v>
      </c>
      <c r="C95" s="26">
        <v>1</v>
      </c>
      <c r="D95" s="16"/>
      <c r="E95" s="26">
        <f>E94</f>
        <v>400</v>
      </c>
      <c r="F95" s="26"/>
      <c r="G95" s="26">
        <f>G94</f>
        <v>160000</v>
      </c>
      <c r="H95" s="39">
        <f>H94</f>
        <v>182765</v>
      </c>
      <c r="I95" s="32">
        <v>400</v>
      </c>
      <c r="J95" s="33"/>
      <c r="K95" s="17"/>
    </row>
    <row r="96" s="1" customFormat="1" ht="22" customHeight="1" spans="1:11">
      <c r="A96" s="14">
        <v>84</v>
      </c>
      <c r="B96" s="18" t="s">
        <v>142</v>
      </c>
      <c r="C96" s="26" t="s">
        <v>143</v>
      </c>
      <c r="D96" s="16" t="s">
        <v>144</v>
      </c>
      <c r="E96" s="26">
        <v>67</v>
      </c>
      <c r="F96" s="18">
        <v>400</v>
      </c>
      <c r="G96" s="18">
        <f>E96*400</f>
        <v>26800</v>
      </c>
      <c r="H96" s="20">
        <f>4430+16239</f>
        <v>20669</v>
      </c>
      <c r="I96" s="32">
        <f>H96/400</f>
        <v>51.6725</v>
      </c>
      <c r="J96" s="33">
        <f t="shared" si="14"/>
        <v>5167.25</v>
      </c>
      <c r="K96" s="17"/>
    </row>
    <row r="97" s="1" customFormat="1" ht="22" customHeight="1" spans="1:11">
      <c r="A97" s="14"/>
      <c r="B97" s="19" t="s">
        <v>35</v>
      </c>
      <c r="C97" s="26">
        <v>1</v>
      </c>
      <c r="D97" s="16"/>
      <c r="E97" s="26">
        <f>E96</f>
        <v>67</v>
      </c>
      <c r="F97" s="26"/>
      <c r="G97" s="26">
        <f>G96</f>
        <v>26800</v>
      </c>
      <c r="H97" s="39">
        <f>H96</f>
        <v>20669</v>
      </c>
      <c r="I97" s="32">
        <f>SUM(I96)</f>
        <v>51.6725</v>
      </c>
      <c r="J97" s="33"/>
      <c r="K97" s="17"/>
    </row>
    <row r="98" s="1" customFormat="1" ht="31" customHeight="1" spans="1:11">
      <c r="A98" s="14">
        <v>85</v>
      </c>
      <c r="B98" s="18" t="s">
        <v>145</v>
      </c>
      <c r="C98" s="16" t="s">
        <v>146</v>
      </c>
      <c r="D98" s="16" t="s">
        <v>147</v>
      </c>
      <c r="E98" s="26">
        <v>97</v>
      </c>
      <c r="F98" s="18">
        <v>400</v>
      </c>
      <c r="G98" s="18">
        <f>E98*400</f>
        <v>38800</v>
      </c>
      <c r="H98" s="20">
        <v>4203</v>
      </c>
      <c r="I98" s="32">
        <f>H98/400</f>
        <v>10.5075</v>
      </c>
      <c r="J98" s="33">
        <f t="shared" si="14"/>
        <v>1050.75</v>
      </c>
      <c r="K98" s="17"/>
    </row>
    <row r="99" s="1" customFormat="1" ht="22" customHeight="1" spans="1:11">
      <c r="A99" s="14">
        <v>86</v>
      </c>
      <c r="B99" s="18"/>
      <c r="C99" s="16" t="s">
        <v>148</v>
      </c>
      <c r="D99" s="16" t="s">
        <v>149</v>
      </c>
      <c r="E99" s="26">
        <v>218</v>
      </c>
      <c r="F99" s="18">
        <v>400</v>
      </c>
      <c r="G99" s="18">
        <f>E99*400</f>
        <v>87200</v>
      </c>
      <c r="H99" s="20">
        <f>102659+35221</f>
        <v>137880</v>
      </c>
      <c r="I99" s="32">
        <v>218</v>
      </c>
      <c r="J99" s="33">
        <f t="shared" si="14"/>
        <v>21800</v>
      </c>
      <c r="K99" s="17"/>
    </row>
    <row r="100" s="1" customFormat="1" ht="22" customHeight="1" spans="1:11">
      <c r="A100" s="14"/>
      <c r="B100" s="19" t="s">
        <v>35</v>
      </c>
      <c r="C100" s="26">
        <v>2</v>
      </c>
      <c r="D100" s="16"/>
      <c r="E100" s="26">
        <f>SUM(E98:E99)</f>
        <v>315</v>
      </c>
      <c r="F100" s="26"/>
      <c r="G100" s="26">
        <f>SUM(G98:G99)</f>
        <v>126000</v>
      </c>
      <c r="H100" s="39">
        <f>SUM(H98:H99)</f>
        <v>142083</v>
      </c>
      <c r="I100" s="32">
        <f>SUM(I98:I99)</f>
        <v>228.5075</v>
      </c>
      <c r="J100" s="33"/>
      <c r="K100" s="17"/>
    </row>
    <row r="101" s="1" customFormat="1" customHeight="1" spans="1:11">
      <c r="A101" s="14">
        <v>87</v>
      </c>
      <c r="B101" s="18" t="s">
        <v>150</v>
      </c>
      <c r="C101" s="26" t="s">
        <v>151</v>
      </c>
      <c r="D101" s="16" t="s">
        <v>152</v>
      </c>
      <c r="E101" s="26">
        <v>100</v>
      </c>
      <c r="F101" s="18">
        <v>400</v>
      </c>
      <c r="G101" s="18">
        <f>E101*400</f>
        <v>40000</v>
      </c>
      <c r="H101" s="20">
        <f>12447+16213</f>
        <v>28660</v>
      </c>
      <c r="I101" s="32">
        <f>H101/400</f>
        <v>71.65</v>
      </c>
      <c r="J101" s="33">
        <f t="shared" si="14"/>
        <v>7165</v>
      </c>
      <c r="K101" s="17"/>
    </row>
    <row r="102" s="1" customFormat="1" ht="24" customHeight="1" spans="1:11">
      <c r="A102" s="14"/>
      <c r="B102" s="19"/>
      <c r="C102" s="26">
        <v>1</v>
      </c>
      <c r="D102" s="16"/>
      <c r="E102" s="26">
        <f>E101</f>
        <v>100</v>
      </c>
      <c r="F102" s="26"/>
      <c r="G102" s="26">
        <f>G101</f>
        <v>40000</v>
      </c>
      <c r="H102" s="39">
        <f>H101</f>
        <v>28660</v>
      </c>
      <c r="I102" s="32">
        <v>71.65</v>
      </c>
      <c r="J102" s="33"/>
      <c r="K102" s="17"/>
    </row>
  </sheetData>
  <mergeCells count="9">
    <mergeCell ref="A1:K1"/>
    <mergeCell ref="A2:K2"/>
    <mergeCell ref="B5:B19"/>
    <mergeCell ref="B21:B33"/>
    <mergeCell ref="B35:B40"/>
    <mergeCell ref="B42:B54"/>
    <mergeCell ref="B56:B75"/>
    <mergeCell ref="B77:B90"/>
    <mergeCell ref="B98:B99"/>
  </mergeCells>
  <printOptions horizontalCentered="1"/>
  <pageMargins left="0.196527777777778" right="0.196527777777778" top="0.156944444444444" bottom="0.156944444444444" header="0.118055555555556" footer="0.236111111111111"/>
  <pageSetup paperSize="9" scale="87" orientation="landscape" horizontalDpi="600"/>
  <headerFooter/>
  <rowBreaks count="10" manualBreakCount="10">
    <brk id="20" max="10" man="1"/>
    <brk id="34" max="10" man="1"/>
    <brk id="55" max="10" man="1"/>
    <brk id="76" max="10" man="1"/>
    <brk id="102" max="16383" man="1"/>
    <brk id="102" max="16383" man="1"/>
    <brk id="102" max="16383" man="1"/>
    <brk id="102" max="16383" man="1"/>
    <brk id="102" max="16383" man="1"/>
    <brk id="102" max="16383" man="1"/>
  </rowBreaks>
  <ignoredErrors>
    <ignoredError sqref="H96 H94" formula="1" unlockedFormula="1"/>
    <ignoredError sqref="H63:H65 H101 H99 H92 H82 H80 H77 H75 H67:H68 H61 H58:H59 H54 H42 H35:H36 H22:H27 H18:H19 H16 H13 H11 H7:H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小怪大精</cp:lastModifiedBy>
  <dcterms:created xsi:type="dcterms:W3CDTF">2024-06-29T00:46:00Z</dcterms:created>
  <dcterms:modified xsi:type="dcterms:W3CDTF">2024-12-27T01:09:43Z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073CAEE7F06F46F89AB2AA3325EB7066_13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